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 codeName="{E757BCB4-07E6-AE0B-56E0-F0EEF7A6E26C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X:\Karty katalogowe 2023\AVS Unit Heater\"/>
    </mc:Choice>
  </mc:AlternateContent>
  <xr:revisionPtr revIDLastSave="0" documentId="13_ncr:1_{86EE032B-1ABC-4410-A51D-B13CF80E7234}" xr6:coauthVersionLast="47" xr6:coauthVersionMax="47" xr10:uidLastSave="{00000000-0000-0000-0000-000000000000}"/>
  <workbookProtection workbookAlgorithmName="SHA-512" workbookHashValue="IDYaeaZdppzsQJ17XtieZvjL7iWeJM1fHqTpdT8JB1kLT2Wt2WHJe7diYKLhSovQby34E/svmvv980ypL7JTIw==" workbookSaltValue="EooW8K/zlFC2d18WM7Wpzg==" workbookSpinCount="100000" lockStructure="1"/>
  <bookViews>
    <workbookView xWindow="43770" yWindow="1970" windowWidth="20370" windowHeight="15370" xr2:uid="{00000000-000D-0000-FFFF-FFFF00000000}"/>
  </bookViews>
  <sheets>
    <sheet name="Luchtverhitter" sheetId="16" r:id="rId1"/>
    <sheet name="cal" sheetId="8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8" state="hidden" r:id="rId7"/>
    <sheet name="SP" sheetId="19" state="hidden" r:id="rId8"/>
    <sheet name="SW" sheetId="20" state="hidden" r:id="rId9"/>
    <sheet name="TS" sheetId="21" state="hidden" r:id="rId10"/>
    <sheet name="ExtraTaal1" sheetId="22" state="hidden" r:id="rId11"/>
    <sheet name="ExtraTaal2" sheetId="23" state="hidden" r:id="rId12"/>
    <sheet name="ExtraTaal3" sheetId="24" state="hidden" r:id="rId13"/>
  </sheets>
  <definedNames>
    <definedName name="dT_heat">IF((cal!$S$10-cal!$S$11)/(cal!$S$9-cal!$S$11)&gt;0.7,(cal!$S$9+cal!$S$10)/2-cal!$S$11,(cal!$S$9-cal!$S$10)/LN((cal!$S$9-cal!$S$11)/(cal!$S$10-cal!$S$11)))</definedName>
    <definedName name="p_atm">cal!$Y$11</definedName>
    <definedName name="RH">cal!$K$12</definedName>
    <definedName name="Tl_cool">cal!$W$11</definedName>
    <definedName name="Tl_heat" localSheetId="1">cal!$S$11</definedName>
    <definedName name="Tr_cool">cal!$W$10</definedName>
    <definedName name="Tr_heat" localSheetId="1">cal!$S$10</definedName>
    <definedName name="Tv_cool" localSheetId="1">cal!$W$9</definedName>
    <definedName name="Tv_heat" localSheetId="1">cal!$S$9</definedName>
    <definedName name="UnitsNo">cal!$W$4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8" l="1"/>
  <c r="AQ1" i="8" s="1"/>
  <c r="H11" i="16"/>
  <c r="I11" i="16"/>
  <c r="J11" i="16"/>
  <c r="B3" i="16" l="1"/>
  <c r="W16" i="8"/>
  <c r="AA22" i="8" s="1"/>
  <c r="S7" i="8"/>
  <c r="I15" i="21"/>
  <c r="I15" i="20"/>
  <c r="I15" i="19"/>
  <c r="I15" i="18"/>
  <c r="I15" i="9"/>
  <c r="I15" i="15"/>
  <c r="I15" i="14"/>
  <c r="I15" i="13"/>
  <c r="E10" i="8"/>
  <c r="E9" i="8"/>
  <c r="K14" i="8"/>
  <c r="M14" i="8"/>
  <c r="AB11" i="8"/>
  <c r="AB27" i="8" l="1"/>
  <c r="AB26" i="8"/>
  <c r="AB25" i="8"/>
  <c r="AB24" i="8"/>
  <c r="AB23" i="8"/>
  <c r="AB22" i="8"/>
  <c r="AC26" i="8"/>
  <c r="AC25" i="8"/>
  <c r="AC24" i="8"/>
  <c r="AC23" i="8"/>
  <c r="Z17" i="8"/>
  <c r="X22" i="8"/>
  <c r="Z22" i="8" s="1"/>
  <c r="AC18" i="8"/>
  <c r="Z21" i="8"/>
  <c r="W21" i="8"/>
  <c r="Z20" i="8"/>
  <c r="AA17" i="8"/>
  <c r="W20" i="8"/>
  <c r="Z19" i="8"/>
  <c r="AA21" i="8"/>
  <c r="AC27" i="8"/>
  <c r="W19" i="8"/>
  <c r="Z18" i="8"/>
  <c r="AA20" i="8"/>
  <c r="W18" i="8"/>
  <c r="W27" i="8"/>
  <c r="AA19" i="8"/>
  <c r="X17" i="8"/>
  <c r="I17" i="8" s="1"/>
  <c r="J16" i="16" s="1"/>
  <c r="W26" i="8"/>
  <c r="AA18" i="8"/>
  <c r="Y22" i="8"/>
  <c r="X21" i="8"/>
  <c r="W25" i="8"/>
  <c r="AB17" i="8"/>
  <c r="AA27" i="8"/>
  <c r="X20" i="8"/>
  <c r="W24" i="8"/>
  <c r="AB21" i="8"/>
  <c r="AA26" i="8"/>
  <c r="AC22" i="8"/>
  <c r="W17" i="8"/>
  <c r="X19" i="8"/>
  <c r="W23" i="8"/>
  <c r="AB20" i="8"/>
  <c r="AA25" i="8"/>
  <c r="AC28" i="8"/>
  <c r="X25" i="8"/>
  <c r="AC20" i="8"/>
  <c r="AC19" i="8"/>
  <c r="X18" i="8"/>
  <c r="I18" i="8" s="1"/>
  <c r="J17" i="16" s="1"/>
  <c r="AA24" i="8"/>
  <c r="X27" i="8"/>
  <c r="AB18" i="8"/>
  <c r="AA23" i="8"/>
  <c r="X28" i="8"/>
  <c r="Z28" i="8" s="1"/>
  <c r="AC21" i="8"/>
  <c r="X24" i="8"/>
  <c r="X23" i="8"/>
  <c r="W22" i="8"/>
  <c r="AB19" i="8"/>
  <c r="AB28" i="8"/>
  <c r="X26" i="8"/>
  <c r="AC17" i="8"/>
  <c r="F15" i="21"/>
  <c r="E15" i="21"/>
  <c r="N15" i="20" l="1"/>
  <c r="F15" i="20"/>
  <c r="E15" i="20"/>
  <c r="O15" i="20" l="1"/>
  <c r="P15" i="20"/>
  <c r="J15" i="20"/>
  <c r="P15" i="21" l="1"/>
  <c r="O15" i="21" l="1"/>
  <c r="P15" i="24"/>
  <c r="O15" i="24"/>
  <c r="N15" i="24"/>
  <c r="J15" i="24"/>
  <c r="I15" i="24"/>
  <c r="F15" i="24"/>
  <c r="E15" i="24"/>
  <c r="G11" i="24"/>
  <c r="G10" i="24"/>
  <c r="G9" i="24"/>
  <c r="P15" i="23"/>
  <c r="O15" i="23"/>
  <c r="N15" i="23"/>
  <c r="J15" i="23"/>
  <c r="I15" i="23"/>
  <c r="F15" i="23"/>
  <c r="E15" i="23"/>
  <c r="G11" i="23"/>
  <c r="G10" i="23"/>
  <c r="G9" i="23"/>
  <c r="P15" i="22"/>
  <c r="O15" i="22"/>
  <c r="N15" i="22"/>
  <c r="J15" i="22"/>
  <c r="I15" i="22"/>
  <c r="F15" i="22"/>
  <c r="E15" i="22"/>
  <c r="G11" i="22"/>
  <c r="G10" i="22"/>
  <c r="G9" i="22"/>
  <c r="N15" i="21"/>
  <c r="J15" i="21"/>
  <c r="B10" i="21"/>
  <c r="B9" i="21"/>
  <c r="I15" i="8" l="1"/>
  <c r="J14" i="16" s="1"/>
  <c r="Z5" i="8" l="1"/>
  <c r="K15" i="8"/>
  <c r="G4" i="16"/>
  <c r="M7" i="8"/>
  <c r="AA4" i="8"/>
  <c r="AA5" i="8"/>
  <c r="AA3" i="8"/>
  <c r="Z4" i="8"/>
  <c r="B46" i="8"/>
  <c r="C15" i="8"/>
  <c r="M15" i="8"/>
  <c r="B15" i="8"/>
  <c r="B47" i="8"/>
  <c r="L15" i="8"/>
  <c r="Z3" i="8"/>
  <c r="G8" i="8"/>
  <c r="B11" i="8"/>
  <c r="D9" i="8"/>
  <c r="B7" i="8"/>
  <c r="B3" i="8"/>
  <c r="C10" i="8"/>
  <c r="B5" i="8"/>
  <c r="B10" i="8"/>
  <c r="G12" i="8"/>
  <c r="G11" i="16" s="1"/>
  <c r="D10" i="8"/>
  <c r="C9" i="8"/>
  <c r="D11" i="8"/>
  <c r="B9" i="8"/>
  <c r="C11" i="8"/>
  <c r="B8" i="8"/>
  <c r="G11" i="21"/>
  <c r="G10" i="21"/>
  <c r="G9" i="21"/>
  <c r="G11" i="20"/>
  <c r="G10" i="20"/>
  <c r="G9" i="20"/>
  <c r="P15" i="9" l="1"/>
  <c r="P15" i="8" s="1"/>
  <c r="O15" i="9"/>
  <c r="O15" i="8" s="1"/>
  <c r="N15" i="9"/>
  <c r="N15" i="8" s="1"/>
  <c r="J15" i="9"/>
  <c r="J15" i="8" s="1"/>
  <c r="F15" i="9"/>
  <c r="F15" i="8" s="1"/>
  <c r="E15" i="9"/>
  <c r="E15" i="8" s="1"/>
  <c r="P15" i="19"/>
  <c r="O15" i="19"/>
  <c r="N15" i="19"/>
  <c r="F15" i="19"/>
  <c r="J15" i="19" s="1"/>
  <c r="E15" i="19"/>
  <c r="B11" i="15"/>
  <c r="B10" i="15"/>
  <c r="B9" i="15"/>
  <c r="B11" i="14"/>
  <c r="B10" i="14"/>
  <c r="B9" i="14"/>
  <c r="B11" i="9"/>
  <c r="B10" i="9"/>
  <c r="B9" i="9"/>
  <c r="G11" i="19"/>
  <c r="G10" i="19"/>
  <c r="G9" i="19"/>
  <c r="D16" i="8" l="1"/>
  <c r="H16" i="8"/>
  <c r="P16" i="8"/>
  <c r="E16" i="8"/>
  <c r="I16" i="8"/>
  <c r="M16" i="8"/>
  <c r="L16" i="8"/>
  <c r="F16" i="8"/>
  <c r="J16" i="8"/>
  <c r="N16" i="8"/>
  <c r="C16" i="8"/>
  <c r="G16" i="8"/>
  <c r="K16" i="8"/>
  <c r="O16" i="8"/>
  <c r="O14" i="8" l="1"/>
  <c r="N15" i="18" l="1"/>
  <c r="E15" i="18"/>
  <c r="F15" i="18"/>
  <c r="J15" i="18" s="1"/>
  <c r="P15" i="15"/>
  <c r="O15" i="15"/>
  <c r="P15" i="14"/>
  <c r="O15" i="14"/>
  <c r="P15" i="13"/>
  <c r="O15" i="13"/>
  <c r="P15" i="18"/>
  <c r="O15" i="18"/>
  <c r="G11" i="18"/>
  <c r="G10" i="18"/>
  <c r="G9" i="18"/>
  <c r="G11" i="15"/>
  <c r="G10" i="15"/>
  <c r="G9" i="15"/>
  <c r="G11" i="14"/>
  <c r="G10" i="14"/>
  <c r="G9" i="14"/>
  <c r="G11" i="13"/>
  <c r="G10" i="13"/>
  <c r="G9" i="13"/>
  <c r="G11" i="9"/>
  <c r="G10" i="9"/>
  <c r="G9" i="9"/>
  <c r="F9" i="8"/>
  <c r="L10" i="8" l="1"/>
  <c r="L9" i="16" s="1"/>
  <c r="F8" i="16"/>
  <c r="M9" i="8"/>
  <c r="M8" i="16" s="1"/>
  <c r="N9" i="8"/>
  <c r="L11" i="8"/>
  <c r="L10" i="16" s="1"/>
  <c r="F10" i="8"/>
  <c r="F9" i="16" s="1"/>
  <c r="L9" i="8"/>
  <c r="L8" i="16" s="1"/>
  <c r="F11" i="8"/>
  <c r="F10" i="16" s="1"/>
  <c r="K12" i="8" l="1"/>
  <c r="K11" i="8"/>
  <c r="K10" i="8"/>
  <c r="K9" i="8"/>
  <c r="AD11" i="8" l="1"/>
  <c r="K12" i="18"/>
  <c r="K12" i="24"/>
  <c r="K12" i="22"/>
  <c r="K12" i="23"/>
  <c r="K12" i="20"/>
  <c r="K12" i="21"/>
  <c r="K12" i="19"/>
  <c r="K9" i="18"/>
  <c r="K9" i="23"/>
  <c r="K9" i="22"/>
  <c r="K9" i="24"/>
  <c r="K9" i="20"/>
  <c r="K9" i="21"/>
  <c r="K9" i="19"/>
  <c r="K10" i="18"/>
  <c r="K10" i="22"/>
  <c r="K10" i="23"/>
  <c r="K10" i="24"/>
  <c r="K10" i="21"/>
  <c r="K10" i="20"/>
  <c r="K10" i="19"/>
  <c r="K11" i="18"/>
  <c r="K11" i="24"/>
  <c r="K11" i="22"/>
  <c r="K11" i="23"/>
  <c r="K11" i="20"/>
  <c r="K11" i="21"/>
  <c r="K11" i="19"/>
  <c r="N8" i="8"/>
  <c r="M8" i="8"/>
  <c r="Y11" i="8" s="1"/>
  <c r="G15" i="18" l="1"/>
  <c r="G15" i="22"/>
  <c r="BB25" i="8"/>
  <c r="AU20" i="8"/>
  <c r="AG27" i="8"/>
  <c r="AN24" i="8"/>
  <c r="AG20" i="8"/>
  <c r="BB19" i="8"/>
  <c r="AN26" i="8"/>
  <c r="AG21" i="8"/>
  <c r="BB20" i="8"/>
  <c r="AG17" i="8"/>
  <c r="BB26" i="8"/>
  <c r="AU21" i="8"/>
  <c r="AG23" i="8"/>
  <c r="AN25" i="8"/>
  <c r="BB27" i="8"/>
  <c r="AU17" i="8"/>
  <c r="AG18" i="8"/>
  <c r="AN27" i="8"/>
  <c r="AU18" i="8"/>
  <c r="BB23" i="8"/>
  <c r="AG19" i="8"/>
  <c r="BB18" i="8"/>
  <c r="BI24" i="8"/>
  <c r="BI25" i="8"/>
  <c r="BI26" i="8"/>
  <c r="BB21" i="8"/>
  <c r="AN23" i="8"/>
  <c r="BI27" i="8"/>
  <c r="BB17" i="8"/>
  <c r="AN18" i="8"/>
  <c r="BI23" i="8"/>
  <c r="AU24" i="8"/>
  <c r="AN19" i="8"/>
  <c r="BI18" i="8"/>
  <c r="AN20" i="8"/>
  <c r="BI19" i="8"/>
  <c r="AU26" i="8"/>
  <c r="AN21" i="8"/>
  <c r="AU27" i="8"/>
  <c r="AG25" i="8"/>
  <c r="AU25" i="8"/>
  <c r="BI20" i="8"/>
  <c r="AN17" i="8"/>
  <c r="BI21" i="8"/>
  <c r="AU23" i="8"/>
  <c r="AG24" i="8"/>
  <c r="BI17" i="8"/>
  <c r="BB24" i="8"/>
  <c r="AU19" i="8"/>
  <c r="AG26" i="8"/>
  <c r="H15" i="24"/>
  <c r="H15" i="23"/>
  <c r="H15" i="21"/>
  <c r="G15" i="21"/>
  <c r="H15" i="20"/>
  <c r="G15" i="20"/>
  <c r="H15" i="18"/>
  <c r="H15" i="19"/>
  <c r="G15" i="19"/>
  <c r="H15" i="22"/>
  <c r="G15" i="24"/>
  <c r="G15" i="23"/>
  <c r="Z11" i="8"/>
  <c r="AA11" i="8" s="1"/>
  <c r="P46" i="8"/>
  <c r="E11" i="8"/>
  <c r="AC11" i="8" s="1"/>
  <c r="C26" i="16"/>
  <c r="B26" i="16"/>
  <c r="C25" i="16"/>
  <c r="B25" i="16"/>
  <c r="C24" i="16"/>
  <c r="B24" i="16"/>
  <c r="C23" i="16"/>
  <c r="B23" i="16"/>
  <c r="C22" i="16"/>
  <c r="B22" i="16"/>
  <c r="C20" i="16"/>
  <c r="B20" i="16"/>
  <c r="C19" i="16"/>
  <c r="B19" i="16"/>
  <c r="C18" i="16"/>
  <c r="B18" i="16"/>
  <c r="C17" i="16"/>
  <c r="B17" i="16"/>
  <c r="C16" i="16"/>
  <c r="B16" i="16"/>
  <c r="M13" i="16"/>
  <c r="L13" i="16"/>
  <c r="K13" i="16"/>
  <c r="J10" i="16"/>
  <c r="I10" i="16"/>
  <c r="Y20" i="8" l="1"/>
  <c r="Y19" i="8"/>
  <c r="Y24" i="8"/>
  <c r="Y17" i="8"/>
  <c r="Y23" i="8"/>
  <c r="Y21" i="8"/>
  <c r="Y27" i="8"/>
  <c r="Y25" i="8"/>
  <c r="Y26" i="8"/>
  <c r="Y18" i="8"/>
  <c r="N40" i="22"/>
  <c r="N40" i="24"/>
  <c r="N40" i="23"/>
  <c r="E9" i="18"/>
  <c r="E9" i="22"/>
  <c r="E9" i="23"/>
  <c r="E9" i="24"/>
  <c r="E9" i="20"/>
  <c r="E9" i="21"/>
  <c r="E9" i="19"/>
  <c r="E10" i="18"/>
  <c r="E10" i="22"/>
  <c r="E10" i="23"/>
  <c r="E10" i="24"/>
  <c r="E10" i="20"/>
  <c r="E10" i="21"/>
  <c r="E10" i="19"/>
  <c r="E11" i="18"/>
  <c r="E11" i="23"/>
  <c r="E11" i="24"/>
  <c r="E11" i="22"/>
  <c r="E11" i="20"/>
  <c r="E11" i="21"/>
  <c r="E11" i="19"/>
  <c r="N40" i="21"/>
  <c r="N40" i="20"/>
  <c r="N40" i="19"/>
  <c r="N40" i="18"/>
  <c r="D15" i="19" l="1"/>
  <c r="B16" i="19"/>
  <c r="B16" i="13"/>
  <c r="B16" i="18"/>
  <c r="B16" i="14"/>
  <c r="B16" i="9"/>
  <c r="B16" i="8" s="1"/>
  <c r="B16" i="15"/>
  <c r="B16" i="21"/>
  <c r="B16" i="20"/>
  <c r="D15" i="20"/>
  <c r="D15" i="21"/>
  <c r="D15" i="18"/>
  <c r="D15" i="23"/>
  <c r="D15" i="22"/>
  <c r="D15" i="24"/>
  <c r="B22" i="21" l="1"/>
  <c r="B22" i="20"/>
  <c r="B22" i="18"/>
  <c r="B22" i="14"/>
  <c r="B22" i="9"/>
  <c r="B22" i="19"/>
  <c r="B22" i="15"/>
  <c r="B22" i="13"/>
  <c r="B16" i="22"/>
  <c r="B16" i="24"/>
  <c r="B16" i="23"/>
  <c r="B22" i="22"/>
  <c r="B22" i="23"/>
  <c r="B22" i="24"/>
  <c r="B34" i="21"/>
  <c r="B34" i="22"/>
  <c r="B34" i="23"/>
  <c r="B34" i="24"/>
  <c r="B34" i="20"/>
  <c r="B28" i="22"/>
  <c r="B28" i="23"/>
  <c r="B28" i="21"/>
  <c r="B28" i="20"/>
  <c r="B28" i="24"/>
  <c r="B28" i="19"/>
  <c r="B28" i="18"/>
  <c r="B28" i="15"/>
  <c r="B28" i="14"/>
  <c r="B28" i="13"/>
  <c r="B28" i="9"/>
  <c r="B34" i="19"/>
  <c r="B34" i="18"/>
  <c r="B34" i="15"/>
  <c r="B34" i="14"/>
  <c r="B34" i="13"/>
  <c r="B34" i="9"/>
  <c r="L27" i="8"/>
  <c r="I27" i="8"/>
  <c r="J26" i="16" s="1"/>
  <c r="L26" i="8"/>
  <c r="I26" i="8"/>
  <c r="J25" i="16" s="1"/>
  <c r="L25" i="8"/>
  <c r="I25" i="8"/>
  <c r="J24" i="16" s="1"/>
  <c r="L24" i="8"/>
  <c r="I24" i="8"/>
  <c r="J23" i="16" s="1"/>
  <c r="L23" i="8"/>
  <c r="I23" i="8"/>
  <c r="J22" i="16" s="1"/>
  <c r="L21" i="8"/>
  <c r="I21" i="8"/>
  <c r="J20" i="16" s="1"/>
  <c r="L20" i="8"/>
  <c r="I20" i="8"/>
  <c r="J19" i="16" s="1"/>
  <c r="L19" i="8"/>
  <c r="I19" i="8"/>
  <c r="J18" i="16" s="1"/>
  <c r="L18" i="8"/>
  <c r="L17" i="8"/>
  <c r="M27" i="8"/>
  <c r="K26" i="16" s="1"/>
  <c r="M26" i="8"/>
  <c r="K25" i="16" s="1"/>
  <c r="M25" i="8"/>
  <c r="K24" i="16" s="1"/>
  <c r="M24" i="8"/>
  <c r="K23" i="16" s="1"/>
  <c r="M23" i="8"/>
  <c r="K22" i="16" s="1"/>
  <c r="M21" i="8"/>
  <c r="K20" i="16" s="1"/>
  <c r="M20" i="8"/>
  <c r="K19" i="16" s="1"/>
  <c r="M19" i="8"/>
  <c r="K18" i="16" s="1"/>
  <c r="M18" i="8"/>
  <c r="K17" i="16" s="1"/>
  <c r="M17" i="8"/>
  <c r="K16" i="16" s="1"/>
  <c r="I26" i="16" l="1"/>
  <c r="K27" i="8"/>
  <c r="I25" i="16"/>
  <c r="K26" i="8"/>
  <c r="I24" i="16"/>
  <c r="K25" i="8"/>
  <c r="I23" i="16"/>
  <c r="K24" i="8"/>
  <c r="I22" i="16"/>
  <c r="K23" i="8"/>
  <c r="I20" i="16"/>
  <c r="K21" i="8"/>
  <c r="I19" i="16"/>
  <c r="K20" i="8"/>
  <c r="I18" i="16"/>
  <c r="K19" i="8"/>
  <c r="I17" i="16"/>
  <c r="K18" i="8"/>
  <c r="I16" i="16"/>
  <c r="K17" i="8"/>
  <c r="B22" i="8"/>
  <c r="J14" i="8"/>
  <c r="J13" i="16" s="1"/>
  <c r="F14" i="8"/>
  <c r="F13" i="16" s="1"/>
  <c r="N15" i="15"/>
  <c r="N15" i="14"/>
  <c r="N15" i="13"/>
  <c r="J15" i="15"/>
  <c r="F15" i="15"/>
  <c r="J15" i="14"/>
  <c r="F15" i="14"/>
  <c r="J15" i="13"/>
  <c r="F15" i="13"/>
  <c r="N14" i="8" l="1"/>
  <c r="E15" i="15"/>
  <c r="E15" i="14"/>
  <c r="E15" i="13"/>
  <c r="N17" i="8" l="1"/>
  <c r="N18" i="8"/>
  <c r="L17" i="16" s="1"/>
  <c r="N19" i="8"/>
  <c r="L18" i="16" s="1"/>
  <c r="N20" i="8"/>
  <c r="L19" i="16" s="1"/>
  <c r="N21" i="8"/>
  <c r="L20" i="16" s="1"/>
  <c r="N13" i="16"/>
  <c r="N25" i="8"/>
  <c r="L24" i="16" s="1"/>
  <c r="N26" i="8"/>
  <c r="L25" i="16" s="1"/>
  <c r="N24" i="8"/>
  <c r="L23" i="16" s="1"/>
  <c r="N27" i="8"/>
  <c r="L26" i="16" s="1"/>
  <c r="N23" i="8"/>
  <c r="L22" i="16" s="1"/>
  <c r="W11" i="8"/>
  <c r="AM3" i="8" s="1"/>
  <c r="W10" i="8"/>
  <c r="AM2" i="8" s="1"/>
  <c r="W9" i="8"/>
  <c r="AM1" i="8" s="1"/>
  <c r="S11" i="8"/>
  <c r="S10" i="8"/>
  <c r="I14" i="8"/>
  <c r="I13" i="16" s="1"/>
  <c r="E14" i="8"/>
  <c r="E13" i="16" s="1"/>
  <c r="H14" i="8"/>
  <c r="H13" i="16" s="1"/>
  <c r="G14" i="8"/>
  <c r="D14" i="8"/>
  <c r="D17" i="8" s="1"/>
  <c r="D16" i="16" s="1"/>
  <c r="AI11" i="8" l="1"/>
  <c r="O17" i="8"/>
  <c r="G13" i="16"/>
  <c r="D27" i="8"/>
  <c r="O27" i="8" s="1"/>
  <c r="D25" i="8"/>
  <c r="O25" i="8" s="1"/>
  <c r="D23" i="8"/>
  <c r="O23" i="8" s="1"/>
  <c r="D21" i="8"/>
  <c r="O21" i="8" s="1"/>
  <c r="D26" i="8"/>
  <c r="O26" i="8" s="1"/>
  <c r="D24" i="8"/>
  <c r="O24" i="8" s="1"/>
  <c r="D18" i="8"/>
  <c r="O18" i="8" s="1"/>
  <c r="D20" i="8"/>
  <c r="O20" i="8" s="1"/>
  <c r="D19" i="8"/>
  <c r="O19" i="8" s="1"/>
  <c r="L16" i="16"/>
  <c r="D13" i="16"/>
  <c r="C22" i="8" l="1"/>
  <c r="G18" i="8"/>
  <c r="F17" i="16" s="1"/>
  <c r="G21" i="8"/>
  <c r="P21" i="8" s="1"/>
  <c r="G20" i="16" s="1"/>
  <c r="G23" i="8"/>
  <c r="F22" i="16" s="1"/>
  <c r="G24" i="8"/>
  <c r="F23" i="16" s="1"/>
  <c r="G25" i="8"/>
  <c r="P25" i="8" s="1"/>
  <c r="G26" i="8"/>
  <c r="F25" i="16" s="1"/>
  <c r="G27" i="8"/>
  <c r="P27" i="8" s="1"/>
  <c r="G17" i="8"/>
  <c r="P17" i="8" s="1"/>
  <c r="G19" i="8"/>
  <c r="F18" i="16" s="1"/>
  <c r="G20" i="8"/>
  <c r="P20" i="8" s="1"/>
  <c r="P26" i="8" l="1"/>
  <c r="F16" i="16"/>
  <c r="F20" i="16"/>
  <c r="F24" i="16"/>
  <c r="P23" i="8"/>
  <c r="G22" i="16" s="1"/>
  <c r="G19" i="16"/>
  <c r="P24" i="8"/>
  <c r="G23" i="16" s="1"/>
  <c r="G16" i="16"/>
  <c r="G24" i="16"/>
  <c r="G26" i="16"/>
  <c r="P19" i="8"/>
  <c r="P18" i="8"/>
  <c r="G17" i="16" s="1"/>
  <c r="F26" i="16"/>
  <c r="G25" i="16"/>
  <c r="G18" i="16"/>
  <c r="F19" i="16"/>
  <c r="H26" i="16"/>
  <c r="H25" i="16"/>
  <c r="H24" i="16"/>
  <c r="H23" i="16"/>
  <c r="H22" i="16"/>
  <c r="H20" i="16"/>
  <c r="H19" i="16"/>
  <c r="H18" i="16"/>
  <c r="H17" i="16"/>
  <c r="H16" i="16"/>
  <c r="N40" i="9" l="1"/>
  <c r="N40" i="13"/>
  <c r="N40" i="15"/>
  <c r="K12" i="13" l="1"/>
  <c r="K12" i="15"/>
  <c r="K12" i="14"/>
  <c r="K10" i="13"/>
  <c r="K10" i="14"/>
  <c r="K10" i="15"/>
  <c r="K12" i="9"/>
  <c r="K9" i="15"/>
  <c r="K9" i="14"/>
  <c r="K11" i="13"/>
  <c r="K11" i="15"/>
  <c r="K11" i="14"/>
  <c r="K9" i="13"/>
  <c r="K9" i="9"/>
  <c r="K10" i="9"/>
  <c r="K11" i="9"/>
  <c r="G15" i="15" l="1"/>
  <c r="H15" i="9"/>
  <c r="G15" i="9"/>
  <c r="G15" i="8" s="1"/>
  <c r="G15" i="13"/>
  <c r="G15" i="14"/>
  <c r="H15" i="15"/>
  <c r="H15" i="13"/>
  <c r="H15" i="14"/>
  <c r="E11" i="15"/>
  <c r="E11" i="14"/>
  <c r="E11" i="9"/>
  <c r="E11" i="13"/>
  <c r="E10" i="14"/>
  <c r="E10" i="13"/>
  <c r="E10" i="9"/>
  <c r="E10" i="15"/>
  <c r="S9" i="8" l="1"/>
  <c r="E9" i="14"/>
  <c r="D15" i="14" s="1"/>
  <c r="E9" i="13"/>
  <c r="D15" i="13" s="1"/>
  <c r="E9" i="15"/>
  <c r="D15" i="15" s="1"/>
  <c r="E9" i="9"/>
  <c r="D15" i="9" s="1"/>
  <c r="D15" i="8" l="1"/>
  <c r="D22" i="16"/>
  <c r="D24" i="16" l="1"/>
  <c r="D26" i="16"/>
  <c r="D23" i="16"/>
  <c r="D25" i="16"/>
  <c r="E22" i="16"/>
  <c r="E26" i="16"/>
  <c r="E25" i="16"/>
  <c r="E24" i="16"/>
  <c r="E23" i="16"/>
  <c r="B8" i="16" l="1"/>
  <c r="J9" i="8"/>
  <c r="J8" i="16" s="1"/>
  <c r="H11" i="8"/>
  <c r="H10" i="16" s="1"/>
  <c r="G7" i="16"/>
  <c r="E14" i="16"/>
  <c r="D8" i="16"/>
  <c r="D10" i="16"/>
  <c r="G14" i="16"/>
  <c r="J10" i="8"/>
  <c r="J9" i="16" s="1"/>
  <c r="G9" i="8"/>
  <c r="G8" i="16" s="1"/>
  <c r="I14" i="16"/>
  <c r="D14" i="16"/>
  <c r="B27" i="16"/>
  <c r="B14" i="16"/>
  <c r="D9" i="16"/>
  <c r="C14" i="16"/>
  <c r="I10" i="8"/>
  <c r="I9" i="16" s="1"/>
  <c r="G10" i="8"/>
  <c r="G9" i="16" s="1"/>
  <c r="K14" i="16"/>
  <c r="H9" i="8"/>
  <c r="H8" i="16" s="1"/>
  <c r="C10" i="16"/>
  <c r="H14" i="16"/>
  <c r="C9" i="16"/>
  <c r="L14" i="16"/>
  <c r="I9" i="8"/>
  <c r="I8" i="16" s="1"/>
  <c r="B28" i="16"/>
  <c r="C8" i="16"/>
  <c r="B7" i="16"/>
  <c r="B10" i="16"/>
  <c r="G11" i="8"/>
  <c r="G10" i="16" s="1"/>
  <c r="B21" i="16"/>
  <c r="B15" i="16"/>
  <c r="B6" i="16"/>
  <c r="F14" i="16"/>
  <c r="H10" i="8"/>
  <c r="H9" i="16" s="1"/>
  <c r="E16" i="16" l="1"/>
  <c r="D18" i="16"/>
  <c r="E18" i="16"/>
  <c r="D20" i="16"/>
  <c r="E20" i="16"/>
  <c r="E19" i="16"/>
  <c r="D19" i="16"/>
  <c r="E17" i="16"/>
  <c r="D17" i="16"/>
  <c r="B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Senne Swyns</author>
  </authors>
  <commentList>
    <comment ref="AB10" authorId="0" shapeId="0" xr:uid="{0F3CB8FE-AD3A-497E-908F-52656F6C5169}">
      <text>
        <r>
          <rPr>
            <b/>
            <sz val="9"/>
            <color indexed="81"/>
            <rFont val="Tahoma"/>
            <family val="2"/>
          </rPr>
          <t xml:space="preserve">Senne Swyns:
originele berkening
gemten bij 90/70/15
</t>
        </r>
      </text>
    </comment>
  </commentList>
</comments>
</file>

<file path=xl/sharedStrings.xml><?xml version="1.0" encoding="utf-8"?>
<sst xmlns="http://schemas.openxmlformats.org/spreadsheetml/2006/main" count="398" uniqueCount="245">
  <si>
    <t>Heizen:</t>
  </si>
  <si>
    <t>Eingabefelder</t>
  </si>
  <si>
    <t>Temperaturen</t>
  </si>
  <si>
    <t>Auslegungsrandbedingungen</t>
  </si>
  <si>
    <t>Leistungsaufnahme [W]</t>
  </si>
  <si>
    <t>Kühlen:</t>
  </si>
  <si>
    <t>n-value</t>
  </si>
  <si>
    <t>Verwarmen:</t>
  </si>
  <si>
    <t>Koelen:</t>
  </si>
  <si>
    <t>Opgenomen elektr. vermogen [W]</t>
  </si>
  <si>
    <t>Randvoorwaarden</t>
  </si>
  <si>
    <t>Invulformulier</t>
  </si>
  <si>
    <t>Temperatures</t>
  </si>
  <si>
    <t>Heating:</t>
  </si>
  <si>
    <t>Cooling:</t>
  </si>
  <si>
    <t>Control voltage [V]</t>
  </si>
  <si>
    <t>Electrical power [W]</t>
  </si>
  <si>
    <t>Conditions</t>
  </si>
  <si>
    <t>Niveau de vitesse</t>
  </si>
  <si>
    <t>Formulary</t>
  </si>
  <si>
    <t>Formulaire</t>
  </si>
  <si>
    <t>Voltage [V]</t>
  </si>
  <si>
    <t>Refroidir:</t>
  </si>
  <si>
    <t>Puissance absorbée [W]</t>
  </si>
  <si>
    <t>Températures</t>
  </si>
  <si>
    <t>Chauffer:</t>
  </si>
  <si>
    <t>Q_verw</t>
  </si>
  <si>
    <t>dP_verw</t>
  </si>
  <si>
    <t>Temp</t>
  </si>
  <si>
    <t>Q_voelb_c</t>
  </si>
  <si>
    <t>dP_cool</t>
  </si>
  <si>
    <t>Geluid_P</t>
  </si>
  <si>
    <t>P_elek</t>
  </si>
  <si>
    <t>V_air</t>
  </si>
  <si>
    <t>H</t>
  </si>
  <si>
    <t>B</t>
  </si>
  <si>
    <t>L</t>
  </si>
  <si>
    <t>Puissance sonore * [dB(A)]</t>
  </si>
  <si>
    <t>Pression sonore ** [dB(A)]</t>
  </si>
  <si>
    <t>Schallleistungspegel * [dB(A)]</t>
  </si>
  <si>
    <t>Schalldruckpegel ** [dB(A)]</t>
  </si>
  <si>
    <t>Sound pressure ** [dB(A)]</t>
  </si>
  <si>
    <t>Sound power * [dB(A)]</t>
  </si>
  <si>
    <t>Geluidsdruk ** [dB(A)]</t>
  </si>
  <si>
    <t>Geluidsvermogen * [dB(A)]</t>
  </si>
  <si>
    <t>*Geluidsvermogen gemeten volgens ISO 3741:2010</t>
  </si>
  <si>
    <t>*Sound power according to ISO 3741:2010</t>
  </si>
  <si>
    <t>**Sound pressure with an assumed room damping of 8dB(A)</t>
  </si>
  <si>
    <t>*Schallleistungspegel nach ISO 3741:2010</t>
  </si>
  <si>
    <t>*Puissance sonore testé selon ISO 3741:2010</t>
  </si>
  <si>
    <t>c</t>
  </si>
  <si>
    <t>d</t>
  </si>
  <si>
    <t>e</t>
  </si>
  <si>
    <t>f</t>
  </si>
  <si>
    <t>g</t>
  </si>
  <si>
    <t>p_atm</t>
  </si>
  <si>
    <t>h[mm]</t>
  </si>
  <si>
    <t>cf_h</t>
  </si>
  <si>
    <t>Norsk</t>
  </si>
  <si>
    <t>Français</t>
  </si>
  <si>
    <t>English</t>
  </si>
  <si>
    <t>Nederlands</t>
  </si>
  <si>
    <t>Deutsch</t>
  </si>
  <si>
    <t>Temperaturer</t>
  </si>
  <si>
    <t>Varme:</t>
  </si>
  <si>
    <t>Kjøling:</t>
  </si>
  <si>
    <t>Modell</t>
  </si>
  <si>
    <t>Væske blanding:</t>
  </si>
  <si>
    <t>Modell:</t>
  </si>
  <si>
    <t>Elektrisk effekt [W]</t>
  </si>
  <si>
    <t>Mélange hydraulique:</t>
  </si>
  <si>
    <t>Appareil - Ventilateur - Version:</t>
  </si>
  <si>
    <t>Hydraulikgemisch:</t>
  </si>
  <si>
    <t>Gerät - Lüfter - Ausfürhung:</t>
  </si>
  <si>
    <t>Hydraulic mix:</t>
  </si>
  <si>
    <t>Device - Ventilator - Utilization:</t>
  </si>
  <si>
    <t>Hydraulisch mengsel:</t>
  </si>
  <si>
    <t>Toestel - Ventilator - Uitvoering:</t>
  </si>
  <si>
    <t>Selectiontool</t>
  </si>
  <si>
    <t>Temp.</t>
  </si>
  <si>
    <t>verw.!</t>
  </si>
  <si>
    <t>koelen!</t>
  </si>
  <si>
    <t>heating!</t>
  </si>
  <si>
    <t>cooling!</t>
  </si>
  <si>
    <t>heizen!</t>
  </si>
  <si>
    <t>kühlen!</t>
  </si>
  <si>
    <t>chauf.!</t>
  </si>
  <si>
    <t>refr.!</t>
  </si>
  <si>
    <t>varme!</t>
  </si>
  <si>
    <t>kjøling!</t>
  </si>
  <si>
    <t>Español</t>
  </si>
  <si>
    <t>Eenheidsstelsel</t>
  </si>
  <si>
    <t>Unit conversion</t>
  </si>
  <si>
    <t>Einheiten</t>
  </si>
  <si>
    <t>Système unitaire</t>
  </si>
  <si>
    <t>Enhetssystem</t>
  </si>
  <si>
    <t>Convers. de unidades</t>
  </si>
  <si>
    <t>Relatieve vochtigheid</t>
  </si>
  <si>
    <t>hoogte</t>
  </si>
  <si>
    <t>breedte</t>
  </si>
  <si>
    <t>lengte</t>
  </si>
  <si>
    <t>Supply water</t>
  </si>
  <si>
    <t>Return water</t>
  </si>
  <si>
    <t>Entering air</t>
  </si>
  <si>
    <t>Relative humidity</t>
  </si>
  <si>
    <t>height</t>
  </si>
  <si>
    <t>width</t>
  </si>
  <si>
    <t>length</t>
  </si>
  <si>
    <t>Relative Luftfeuchtigkeit</t>
  </si>
  <si>
    <t>höhe</t>
  </si>
  <si>
    <t>breite</t>
  </si>
  <si>
    <t>länge</t>
  </si>
  <si>
    <t>Humidité relative</t>
  </si>
  <si>
    <t>hauteur</t>
  </si>
  <si>
    <t>largeur</t>
  </si>
  <si>
    <t>longueur</t>
  </si>
  <si>
    <t>Tur vann</t>
  </si>
  <si>
    <t>Retur vann</t>
  </si>
  <si>
    <t>Rom</t>
  </si>
  <si>
    <t>Relativ fuktighet</t>
  </si>
  <si>
    <t>høyde</t>
  </si>
  <si>
    <t>bredde</t>
  </si>
  <si>
    <t>lengde</t>
  </si>
  <si>
    <t>Temperaturas</t>
  </si>
  <si>
    <t>Calefacción:</t>
  </si>
  <si>
    <t>Agua impulsión</t>
  </si>
  <si>
    <t>Agua retorno</t>
  </si>
  <si>
    <t>Ambiente</t>
  </si>
  <si>
    <t>Humedad relativa</t>
  </si>
  <si>
    <t>Enfriamiento:</t>
  </si>
  <si>
    <t xml:space="preserve"> Voltaje control [V]</t>
  </si>
  <si>
    <t>Potencia eléctrica absorbida [W]</t>
  </si>
  <si>
    <t>calefac.</t>
  </si>
  <si>
    <t>enfria.</t>
  </si>
  <si>
    <t>altura</t>
  </si>
  <si>
    <t>ancho</t>
  </si>
  <si>
    <t>longitud</t>
  </si>
  <si>
    <t>**Potencia sonora de acuerdo a ISO 3741:2010</t>
  </si>
  <si>
    <t>**Sound power according to ISO 3741:2010</t>
  </si>
  <si>
    <t>Svenska</t>
  </si>
  <si>
    <t>Čeština</t>
  </si>
  <si>
    <t>ExtraTaal1</t>
  </si>
  <si>
    <t>ExtraTaal2</t>
  </si>
  <si>
    <t>ExtraTaal3</t>
  </si>
  <si>
    <t xml:space="preserve">*Akustický tlak podle ISO 3741:2010 </t>
  </si>
  <si>
    <t>Värme:</t>
  </si>
  <si>
    <t>Kyla:</t>
  </si>
  <si>
    <t>Tillopp</t>
  </si>
  <si>
    <t>Retur</t>
  </si>
  <si>
    <t>Rum (torr)</t>
  </si>
  <si>
    <t>rel. Fuktighet</t>
  </si>
  <si>
    <t>Spänning, Fläkt [V]</t>
  </si>
  <si>
    <t>Teploty</t>
  </si>
  <si>
    <t>Topení:</t>
  </si>
  <si>
    <t>Těleso - Ventilátor - Verze:</t>
  </si>
  <si>
    <t>Směs vody:</t>
  </si>
  <si>
    <t>Chlazení:</t>
  </si>
  <si>
    <t>Relativní vlhkost</t>
  </si>
  <si>
    <t>Převod jednotek</t>
  </si>
  <si>
    <t>Kopírovat všechna data</t>
  </si>
  <si>
    <t>Mezinárodní (Sl)</t>
  </si>
  <si>
    <t>Imperiální</t>
  </si>
  <si>
    <t>Ovládací napětí [V]</t>
  </si>
  <si>
    <t>Stuurspanning [V]</t>
  </si>
  <si>
    <t>Regelspannung [V]</t>
  </si>
  <si>
    <t>Styresignal [V]</t>
  </si>
  <si>
    <t>Drehzahlstufe</t>
  </si>
  <si>
    <t>Snelheidsniveau</t>
  </si>
  <si>
    <t>Speed level</t>
  </si>
  <si>
    <t>Lydtrykk ** [dB(A)]</t>
  </si>
  <si>
    <t>Lydeffekt * [dB(A)]</t>
  </si>
  <si>
    <t>Presión sonora ** [dB(A)]</t>
  </si>
  <si>
    <t>Potencia sonora * [dB(A)]</t>
  </si>
  <si>
    <t>Hastighet</t>
  </si>
  <si>
    <t>Nivel de velocidad</t>
  </si>
  <si>
    <t>Fläkthastighet</t>
  </si>
  <si>
    <t>Rychlost</t>
  </si>
  <si>
    <t>Akustický tlak ** [dB(A)]</t>
  </si>
  <si>
    <t>Akustický výkon * [dB(A)]</t>
  </si>
  <si>
    <t>Elektrický výkon [W]</t>
  </si>
  <si>
    <t>topení!</t>
  </si>
  <si>
    <t>chlazení!</t>
  </si>
  <si>
    <t>Kopiera all data</t>
  </si>
  <si>
    <t>SI-enheter</t>
  </si>
  <si>
    <t>Imperiella-enheter</t>
  </si>
  <si>
    <t>Copiar todos los datos</t>
  </si>
  <si>
    <t>Unidades-SI</t>
  </si>
  <si>
    <t>Unidades-Imperial</t>
  </si>
  <si>
    <t>Kopier alle data</t>
  </si>
  <si>
    <t>Imperiale-enheter</t>
  </si>
  <si>
    <t>Copier toutes des données</t>
  </si>
  <si>
    <t>Unités-SI</t>
  </si>
  <si>
    <t>Unités-Impériales</t>
  </si>
  <si>
    <t>Kopieren Sie alle daten</t>
  </si>
  <si>
    <t>SI-einheiten</t>
  </si>
  <si>
    <t>Imperiale-einheiten</t>
  </si>
  <si>
    <t>Copy all data</t>
  </si>
  <si>
    <t>SI-units</t>
  </si>
  <si>
    <t>Imperial-units</t>
  </si>
  <si>
    <t>Kopieer alle data</t>
  </si>
  <si>
    <t>SI-eenheden</t>
  </si>
  <si>
    <t>Imperiale-eenheden</t>
  </si>
  <si>
    <t>höjd</t>
  </si>
  <si>
    <t>djup</t>
  </si>
  <si>
    <t>längd</t>
  </si>
  <si>
    <t>värme!</t>
  </si>
  <si>
    <t>kyla!</t>
  </si>
  <si>
    <t>Ljudtryck ** [dB(A)]</t>
  </si>
  <si>
    <t>Ljudeffekt * [dB(A)]</t>
  </si>
  <si>
    <t>Effektförbrukning [W]</t>
  </si>
  <si>
    <t>*Ljudeffekt enligt ISO 3741: 2010</t>
  </si>
  <si>
    <t>Taal/Language/Sprache/Språk/Jazyk</t>
  </si>
  <si>
    <t>Výška</t>
  </si>
  <si>
    <t>"Suchá" teplota vzduchu</t>
  </si>
  <si>
    <t>Šířka</t>
  </si>
  <si>
    <t>Délka</t>
  </si>
  <si>
    <t>Luchtverhitter</t>
  </si>
  <si>
    <t>dt og</t>
  </si>
  <si>
    <t>dt nieuw heating</t>
  </si>
  <si>
    <t>toerental n[u/min]</t>
  </si>
  <si>
    <t>dt koeling</t>
  </si>
  <si>
    <t>oppWW</t>
  </si>
  <si>
    <t>021/031</t>
  </si>
  <si>
    <t>121/131</t>
  </si>
  <si>
    <t>321/331</t>
  </si>
  <si>
    <t>421/431</t>
  </si>
  <si>
    <t>ohřívač ventilátoru</t>
  </si>
  <si>
    <t>fläktvärmare</t>
  </si>
  <si>
    <t>calentador</t>
  </si>
  <si>
    <t>vifteovn</t>
  </si>
  <si>
    <t>aérotherme</t>
  </si>
  <si>
    <t>Heizlüfter</t>
  </si>
  <si>
    <t>unit heater</t>
  </si>
  <si>
    <t>luchtverhitter</t>
  </si>
  <si>
    <t>**Geluidsdruk bij een aangenomen ruimtedemping van 16 dB(A)</t>
  </si>
  <si>
    <t>**Akustický výkon s předpokládaným útlumem místnosti 16 dB (A).</t>
  </si>
  <si>
    <t>**Sound pressure with an assumed room damping of 16 dB(A)</t>
  </si>
  <si>
    <t>**Schalldruckpegel bei angenommener Raumdämpfung von 16 dB(A)</t>
  </si>
  <si>
    <t>**Pression sonore avec une atténuation ambiante du 16 dB(A)</t>
  </si>
  <si>
    <t>***Sound pressure with an assumed room damping of 16 dB(A)</t>
  </si>
  <si>
    <t>***Presión sonora asumiendo una reducción de la estancia de  16 dB(A)</t>
  </si>
  <si>
    <t>**Ljudtryck med en antagen rumsdämpning på 16 dB (A)</t>
  </si>
  <si>
    <t>221/231</t>
  </si>
  <si>
    <t>checking for condensation cooling</t>
  </si>
  <si>
    <t>v2023-10-10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</si>
</sst>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2F2F2"/>
      <name val="Calibri"/>
      <family val="2"/>
      <scheme val="minor"/>
    </font>
    <font>
      <i/>
      <sz val="12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1"/>
      <name val="Eurostile#2-Extended"/>
      <family val="2"/>
    </font>
    <font>
      <b/>
      <i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 tint="-4.9989318521683403E-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i/>
      <sz val="9"/>
      <color rgb="FF20212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32" fillId="0" borderId="0" applyFont="0" applyFill="0" applyBorder="0" applyAlignment="0" applyProtection="0"/>
  </cellStyleXfs>
  <cellXfs count="28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1" fillId="2" borderId="0" xfId="0" applyFont="1" applyFill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/>
    <xf numFmtId="0" fontId="9" fillId="3" borderId="0" xfId="0" applyFont="1" applyFill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10" fillId="2" borderId="6" xfId="0" applyFont="1" applyFill="1" applyBorder="1" applyAlignment="1">
      <alignment horizontal="center" vertical="center"/>
    </xf>
    <xf numFmtId="9" fontId="0" fillId="2" borderId="14" xfId="0" applyNumberFormat="1" applyFill="1" applyBorder="1"/>
    <xf numFmtId="0" fontId="0" fillId="2" borderId="15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center" vertical="center"/>
    </xf>
    <xf numFmtId="0" fontId="0" fillId="2" borderId="17" xfId="0" applyFill="1" applyBorder="1"/>
    <xf numFmtId="0" fontId="0" fillId="3" borderId="0" xfId="0" applyFill="1" applyAlignment="1">
      <alignment horizontal="left"/>
    </xf>
    <xf numFmtId="0" fontId="0" fillId="2" borderId="0" xfId="0" applyFill="1" applyProtection="1">
      <protection locked="0"/>
    </xf>
    <xf numFmtId="9" fontId="0" fillId="4" borderId="1" xfId="0" applyNumberFormat="1" applyFill="1" applyBorder="1" applyAlignment="1">
      <alignment horizont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16" fillId="2" borderId="0" xfId="0" applyFont="1" applyFill="1" applyProtection="1">
      <protection locked="0"/>
    </xf>
    <xf numFmtId="164" fontId="0" fillId="2" borderId="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>
      <alignment horizontal="center"/>
    </xf>
    <xf numFmtId="0" fontId="10" fillId="2" borderId="8" xfId="0" applyFont="1" applyFill="1" applyBorder="1"/>
    <xf numFmtId="1" fontId="10" fillId="2" borderId="6" xfId="0" applyNumberFormat="1" applyFont="1" applyFill="1" applyBorder="1" applyAlignment="1">
      <alignment horizontal="center" vertical="center"/>
    </xf>
    <xf numFmtId="1" fontId="10" fillId="2" borderId="16" xfId="0" applyNumberFormat="1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Protection="1">
      <protection locked="0"/>
    </xf>
    <xf numFmtId="0" fontId="19" fillId="3" borderId="0" xfId="0" applyFont="1" applyFill="1"/>
    <xf numFmtId="0" fontId="0" fillId="2" borderId="34" xfId="0" applyFill="1" applyBorder="1" applyProtection="1">
      <protection locked="0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21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1" fillId="2" borderId="3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164" fontId="16" fillId="2" borderId="29" xfId="0" applyNumberFormat="1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2" fillId="2" borderId="19" xfId="0" applyFont="1" applyFill="1" applyBorder="1"/>
    <xf numFmtId="0" fontId="0" fillId="2" borderId="19" xfId="0" applyFill="1" applyBorder="1"/>
    <xf numFmtId="0" fontId="0" fillId="2" borderId="10" xfId="0" applyFill="1" applyBorder="1"/>
    <xf numFmtId="1" fontId="0" fillId="4" borderId="10" xfId="0" applyNumberFormat="1" applyFill="1" applyBorder="1" applyAlignment="1" applyProtection="1">
      <alignment horizontal="center"/>
      <protection locked="0"/>
    </xf>
    <xf numFmtId="0" fontId="1" fillId="3" borderId="42" xfId="0" applyFont="1" applyFill="1" applyBorder="1" applyAlignment="1">
      <alignment horizontal="center" vertical="center" textRotation="90" wrapText="1"/>
    </xf>
    <xf numFmtId="0" fontId="1" fillId="3" borderId="43" xfId="0" applyFont="1" applyFill="1" applyBorder="1" applyAlignment="1">
      <alignment horizontal="center" vertical="center" textRotation="90" wrapText="1"/>
    </xf>
    <xf numFmtId="0" fontId="12" fillId="3" borderId="42" xfId="0" applyFont="1" applyFill="1" applyBorder="1" applyAlignment="1">
      <alignment horizontal="center" vertical="center" textRotation="90" wrapText="1"/>
    </xf>
    <xf numFmtId="0" fontId="13" fillId="3" borderId="42" xfId="0" applyFont="1" applyFill="1" applyBorder="1" applyAlignment="1">
      <alignment horizontal="center" vertical="center" textRotation="90" wrapText="1"/>
    </xf>
    <xf numFmtId="0" fontId="13" fillId="3" borderId="44" xfId="0" applyFont="1" applyFill="1" applyBorder="1" applyAlignment="1">
      <alignment horizontal="center" vertical="center" textRotation="90" wrapText="1"/>
    </xf>
    <xf numFmtId="0" fontId="14" fillId="3" borderId="42" xfId="0" applyFont="1" applyFill="1" applyBorder="1" applyAlignment="1">
      <alignment horizontal="center" vertical="center" textRotation="90" wrapText="1"/>
    </xf>
    <xf numFmtId="0" fontId="14" fillId="3" borderId="43" xfId="0" applyFont="1" applyFill="1" applyBorder="1" applyAlignment="1">
      <alignment horizontal="center" vertical="center" textRotation="90" wrapText="1"/>
    </xf>
    <xf numFmtId="0" fontId="15" fillId="3" borderId="42" xfId="0" applyFont="1" applyFill="1" applyBorder="1" applyAlignment="1">
      <alignment horizontal="center" vertical="center" textRotation="90" wrapText="1"/>
    </xf>
    <xf numFmtId="0" fontId="15" fillId="3" borderId="43" xfId="0" applyFont="1" applyFill="1" applyBorder="1" applyAlignment="1">
      <alignment horizontal="center" vertical="center" textRotation="90" wrapText="1"/>
    </xf>
    <xf numFmtId="164" fontId="10" fillId="2" borderId="6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8" fillId="3" borderId="0" xfId="0" applyNumberFormat="1" applyFont="1" applyFill="1" applyAlignment="1" applyProtection="1">
      <alignment horizontal="center"/>
      <protection locked="0"/>
    </xf>
    <xf numFmtId="0" fontId="0" fillId="3" borderId="45" xfId="0" applyFill="1" applyBorder="1"/>
    <xf numFmtId="0" fontId="0" fillId="3" borderId="46" xfId="0" applyFill="1" applyBorder="1"/>
    <xf numFmtId="0" fontId="1" fillId="3" borderId="47" xfId="0" applyFont="1" applyFill="1" applyBorder="1" applyAlignment="1">
      <alignment horizontal="center"/>
    </xf>
    <xf numFmtId="2" fontId="8" fillId="3" borderId="47" xfId="0" applyNumberFormat="1" applyFont="1" applyFill="1" applyBorder="1" applyAlignment="1" applyProtection="1">
      <alignment horizontal="center"/>
      <protection locked="0"/>
    </xf>
    <xf numFmtId="0" fontId="0" fillId="3" borderId="47" xfId="0" applyFill="1" applyBorder="1"/>
    <xf numFmtId="0" fontId="0" fillId="3" borderId="48" xfId="0" applyFill="1" applyBorder="1"/>
    <xf numFmtId="0" fontId="0" fillId="3" borderId="49" xfId="0" applyFill="1" applyBorder="1"/>
    <xf numFmtId="164" fontId="10" fillId="2" borderId="7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textRotation="90" wrapText="1"/>
      <protection hidden="1"/>
    </xf>
    <xf numFmtId="0" fontId="1" fillId="3" borderId="0" xfId="0" applyFont="1" applyFill="1" applyAlignment="1" applyProtection="1">
      <alignment horizontal="center" vertical="center" textRotation="90" wrapText="1"/>
      <protection hidden="1"/>
    </xf>
    <xf numFmtId="0" fontId="0" fillId="3" borderId="0" xfId="0" applyFill="1" applyAlignment="1" applyProtection="1">
      <alignment horizontal="left"/>
      <protection hidden="1"/>
    </xf>
    <xf numFmtId="0" fontId="1" fillId="3" borderId="5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0" fontId="8" fillId="4" borderId="18" xfId="0" applyFont="1" applyFill="1" applyBorder="1" applyAlignment="1" applyProtection="1">
      <alignment horizontal="left"/>
      <protection hidden="1"/>
    </xf>
    <xf numFmtId="0" fontId="1" fillId="3" borderId="3" xfId="0" applyFont="1" applyFill="1" applyBorder="1" applyAlignment="1" applyProtection="1">
      <alignment horizontal="center" vertical="center" textRotation="90" wrapText="1"/>
      <protection hidden="1"/>
    </xf>
    <xf numFmtId="0" fontId="1" fillId="3" borderId="4" xfId="0" applyFont="1" applyFill="1" applyBorder="1" applyAlignment="1" applyProtection="1">
      <alignment horizontal="center" vertical="center" textRotation="90" wrapText="1"/>
      <protection hidden="1"/>
    </xf>
    <xf numFmtId="0" fontId="1" fillId="3" borderId="6" xfId="0" applyFont="1" applyFill="1" applyBorder="1" applyAlignment="1" applyProtection="1">
      <alignment horizontal="center" vertical="center" textRotation="90" wrapText="1"/>
      <protection hidden="1"/>
    </xf>
    <xf numFmtId="165" fontId="21" fillId="2" borderId="8" xfId="0" applyNumberFormat="1" applyFont="1" applyFill="1" applyBorder="1" applyAlignment="1">
      <alignment horizontal="center"/>
    </xf>
    <xf numFmtId="0" fontId="21" fillId="2" borderId="8" xfId="0" applyFont="1" applyFill="1" applyBorder="1"/>
    <xf numFmtId="165" fontId="21" fillId="2" borderId="0" xfId="0" applyNumberFormat="1" applyFont="1" applyFill="1" applyAlignment="1">
      <alignment horizontal="center"/>
    </xf>
    <xf numFmtId="0" fontId="1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41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45" xfId="0" applyFill="1" applyBorder="1" applyProtection="1">
      <protection hidden="1"/>
    </xf>
    <xf numFmtId="0" fontId="0" fillId="3" borderId="46" xfId="0" applyFill="1" applyBorder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47" xfId="0" applyFont="1" applyFill="1" applyBorder="1" applyAlignment="1" applyProtection="1">
      <alignment horizontal="center"/>
      <protection hidden="1"/>
    </xf>
    <xf numFmtId="2" fontId="8" fillId="3" borderId="47" xfId="0" applyNumberFormat="1" applyFont="1" applyFill="1" applyBorder="1" applyAlignment="1" applyProtection="1">
      <alignment horizontal="center"/>
      <protection hidden="1"/>
    </xf>
    <xf numFmtId="0" fontId="0" fillId="3" borderId="47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0" fillId="3" borderId="48" xfId="0" applyFill="1" applyBorder="1" applyProtection="1">
      <protection hidden="1"/>
    </xf>
    <xf numFmtId="0" fontId="0" fillId="3" borderId="49" xfId="0" applyFill="1" applyBorder="1" applyProtection="1">
      <protection hidden="1"/>
    </xf>
    <xf numFmtId="0" fontId="10" fillId="2" borderId="8" xfId="0" applyFont="1" applyFill="1" applyBorder="1" applyProtection="1">
      <protection hidden="1"/>
    </xf>
    <xf numFmtId="165" fontId="18" fillId="2" borderId="8" xfId="0" applyNumberFormat="1" applyFont="1" applyFill="1" applyBorder="1" applyAlignment="1" applyProtection="1">
      <alignment horizontal="center"/>
      <protection hidden="1"/>
    </xf>
    <xf numFmtId="0" fontId="18" fillId="2" borderId="8" xfId="0" applyFont="1" applyFill="1" applyBorder="1" applyProtection="1">
      <protection hidden="1"/>
    </xf>
    <xf numFmtId="0" fontId="1" fillId="3" borderId="42" xfId="0" applyFont="1" applyFill="1" applyBorder="1" applyAlignment="1" applyProtection="1">
      <alignment horizontal="center" vertical="center" textRotation="90" wrapText="1"/>
      <protection hidden="1"/>
    </xf>
    <xf numFmtId="0" fontId="1" fillId="3" borderId="43" xfId="0" applyFont="1" applyFill="1" applyBorder="1" applyAlignment="1" applyProtection="1">
      <alignment horizontal="center" vertical="center" textRotation="90" wrapText="1"/>
      <protection hidden="1"/>
    </xf>
    <xf numFmtId="0" fontId="12" fillId="3" borderId="42" xfId="0" applyFont="1" applyFill="1" applyBorder="1" applyAlignment="1" applyProtection="1">
      <alignment horizontal="center" vertical="center" textRotation="90" wrapText="1"/>
      <protection hidden="1"/>
    </xf>
    <xf numFmtId="0" fontId="14" fillId="3" borderId="43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9" fontId="0" fillId="2" borderId="5" xfId="0" applyNumberFormat="1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1" fontId="0" fillId="2" borderId="0" xfId="0" applyNumberFormat="1" applyFill="1" applyAlignment="1" applyProtection="1">
      <alignment horizontal="center" vertical="center"/>
      <protection hidden="1"/>
    </xf>
    <xf numFmtId="164" fontId="0" fillId="2" borderId="5" xfId="0" applyNumberFormat="1" applyFill="1" applyBorder="1" applyAlignment="1" applyProtection="1">
      <alignment horizontal="center" vertical="center"/>
      <protection hidden="1"/>
    </xf>
    <xf numFmtId="164" fontId="0" fillId="2" borderId="6" xfId="0" applyNumberForma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1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2" fontId="10" fillId="3" borderId="0" xfId="0" applyNumberFormat="1" applyFont="1" applyFill="1" applyAlignment="1" applyProtection="1">
      <alignment horizontal="left"/>
      <protection hidden="1"/>
    </xf>
    <xf numFmtId="0" fontId="0" fillId="2" borderId="0" xfId="0" applyFill="1" applyAlignment="1">
      <alignment horizontal="center"/>
    </xf>
    <xf numFmtId="0" fontId="0" fillId="3" borderId="5" xfId="0" applyFill="1" applyBorder="1" applyAlignment="1" applyProtection="1">
      <alignment vertical="top"/>
      <protection hidden="1"/>
    </xf>
    <xf numFmtId="0" fontId="0" fillId="3" borderId="0" xfId="0" applyFill="1" applyAlignment="1" applyProtection="1">
      <alignment vertical="top"/>
      <protection hidden="1"/>
    </xf>
    <xf numFmtId="0" fontId="25" fillId="3" borderId="50" xfId="0" applyFont="1" applyFill="1" applyBorder="1" applyAlignment="1" applyProtection="1">
      <alignment horizontal="center" vertical="center" textRotation="90" wrapText="1"/>
      <protection hidden="1"/>
    </xf>
    <xf numFmtId="0" fontId="25" fillId="3" borderId="51" xfId="0" applyFont="1" applyFill="1" applyBorder="1" applyAlignment="1" applyProtection="1">
      <alignment horizontal="center" vertical="center" textRotation="90" wrapText="1"/>
      <protection hidden="1"/>
    </xf>
    <xf numFmtId="0" fontId="26" fillId="3" borderId="42" xfId="0" applyFont="1" applyFill="1" applyBorder="1" applyAlignment="1" applyProtection="1">
      <alignment horizontal="center" vertical="center" textRotation="90" wrapText="1"/>
      <protection hidden="1"/>
    </xf>
    <xf numFmtId="0" fontId="26" fillId="3" borderId="53" xfId="0" applyFont="1" applyFill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0" borderId="30" xfId="0" applyBorder="1"/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/>
    <xf numFmtId="166" fontId="16" fillId="2" borderId="29" xfId="0" applyNumberFormat="1" applyFont="1" applyFill="1" applyBorder="1" applyAlignment="1">
      <alignment horizontal="center" vertical="center"/>
    </xf>
    <xf numFmtId="166" fontId="16" fillId="2" borderId="0" xfId="0" applyNumberFormat="1" applyFont="1" applyFill="1" applyAlignment="1">
      <alignment horizontal="center" vertical="center"/>
    </xf>
    <xf numFmtId="166" fontId="16" fillId="2" borderId="30" xfId="0" applyNumberFormat="1" applyFont="1" applyFill="1" applyBorder="1" applyAlignment="1">
      <alignment horizontal="center" vertical="center"/>
    </xf>
    <xf numFmtId="9" fontId="0" fillId="2" borderId="7" xfId="0" applyNumberFormat="1" applyFill="1" applyBorder="1" applyProtection="1"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1" fontId="0" fillId="2" borderId="8" xfId="0" applyNumberFormat="1" applyFill="1" applyBorder="1" applyAlignment="1" applyProtection="1">
      <alignment horizontal="center" vertical="center"/>
      <protection hidden="1"/>
    </xf>
    <xf numFmtId="164" fontId="0" fillId="2" borderId="7" xfId="0" applyNumberFormat="1" applyFill="1" applyBorder="1" applyAlignment="1" applyProtection="1">
      <alignment horizontal="center" vertical="center"/>
      <protection hidden="1"/>
    </xf>
    <xf numFmtId="164" fontId="0" fillId="2" borderId="9" xfId="0" applyNumberFormat="1" applyFill="1" applyBorder="1" applyAlignment="1" applyProtection="1">
      <alignment horizontal="center" vertical="center"/>
      <protection hidden="1"/>
    </xf>
    <xf numFmtId="164" fontId="10" fillId="2" borderId="8" xfId="0" applyNumberFormat="1" applyFont="1" applyFill="1" applyBorder="1" applyAlignment="1" applyProtection="1">
      <alignment horizontal="center" vertical="center"/>
      <protection hidden="1"/>
    </xf>
    <xf numFmtId="1" fontId="10" fillId="2" borderId="9" xfId="0" applyNumberFormat="1" applyFont="1" applyFill="1" applyBorder="1" applyAlignment="1" applyProtection="1">
      <alignment horizontal="center" vertical="center"/>
      <protection hidden="1"/>
    </xf>
    <xf numFmtId="1" fontId="0" fillId="2" borderId="0" xfId="0" applyNumberFormat="1" applyFill="1"/>
    <xf numFmtId="2" fontId="0" fillId="2" borderId="0" xfId="0" applyNumberFormat="1" applyFill="1"/>
    <xf numFmtId="0" fontId="29" fillId="3" borderId="44" xfId="0" applyFont="1" applyFill="1" applyBorder="1" applyAlignment="1">
      <alignment horizontal="center" vertical="center" textRotation="90" wrapText="1"/>
    </xf>
    <xf numFmtId="0" fontId="30" fillId="3" borderId="43" xfId="0" applyFont="1" applyFill="1" applyBorder="1" applyAlignment="1">
      <alignment horizontal="center" vertical="center" textRotation="90" wrapText="1"/>
    </xf>
    <xf numFmtId="0" fontId="0" fillId="2" borderId="9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7" fillId="3" borderId="52" xfId="0" applyFont="1" applyFill="1" applyBorder="1" applyAlignment="1" applyProtection="1">
      <alignment horizontal="center" vertical="center" textRotation="90" wrapText="1"/>
      <protection hidden="1"/>
    </xf>
    <xf numFmtId="0" fontId="27" fillId="3" borderId="4" xfId="0" applyFont="1" applyFill="1" applyBorder="1" applyAlignment="1" applyProtection="1">
      <alignment horizontal="center" vertical="center" textRotation="90" wrapText="1"/>
      <protection hidden="1"/>
    </xf>
    <xf numFmtId="0" fontId="27" fillId="3" borderId="54" xfId="0" applyFont="1" applyFill="1" applyBorder="1" applyAlignment="1" applyProtection="1">
      <alignment horizontal="center" vertical="center" textRotation="90" wrapText="1"/>
      <protection hidden="1"/>
    </xf>
    <xf numFmtId="2" fontId="16" fillId="2" borderId="29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Alignment="1">
      <alignment horizontal="center" vertical="center"/>
    </xf>
    <xf numFmtId="2" fontId="16" fillId="2" borderId="30" xfId="0" applyNumberFormat="1" applyFont="1" applyFill="1" applyBorder="1" applyAlignment="1">
      <alignment horizontal="center" vertical="center"/>
    </xf>
    <xf numFmtId="0" fontId="27" fillId="3" borderId="55" xfId="0" applyFont="1" applyFill="1" applyBorder="1" applyAlignment="1" applyProtection="1">
      <alignment horizontal="center" vertical="center" textRotation="90" wrapText="1"/>
      <protection hidden="1"/>
    </xf>
    <xf numFmtId="0" fontId="0" fillId="2" borderId="2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31" fillId="0" borderId="0" xfId="0" applyFont="1" applyAlignment="1">
      <alignment horizontal="left" vertical="center" indent="1"/>
    </xf>
    <xf numFmtId="9" fontId="0" fillId="2" borderId="0" xfId="23" applyFont="1" applyFill="1" applyProtection="1">
      <protection locked="0"/>
    </xf>
    <xf numFmtId="9" fontId="0" fillId="2" borderId="0" xfId="0" applyNumberFormat="1" applyFill="1" applyProtection="1">
      <protection locked="0"/>
    </xf>
    <xf numFmtId="0" fontId="1" fillId="3" borderId="5" xfId="0" applyFont="1" applyFill="1" applyBorder="1" applyAlignment="1">
      <alignment vertical="center"/>
    </xf>
    <xf numFmtId="9" fontId="0" fillId="4" borderId="10" xfId="23" applyFont="1" applyFill="1" applyBorder="1" applyAlignment="1" applyProtection="1">
      <alignment horizontal="center"/>
      <protection locked="0"/>
    </xf>
    <xf numFmtId="0" fontId="33" fillId="3" borderId="43" xfId="0" applyFont="1" applyFill="1" applyBorder="1" applyAlignment="1">
      <alignment horizontal="center" vertical="center" textRotation="90" wrapText="1"/>
    </xf>
    <xf numFmtId="0" fontId="24" fillId="8" borderId="39" xfId="0" applyFont="1" applyFill="1" applyBorder="1" applyAlignment="1" applyProtection="1">
      <alignment horizontal="center"/>
      <protection hidden="1"/>
    </xf>
    <xf numFmtId="0" fontId="24" fillId="8" borderId="40" xfId="0" applyFont="1" applyFill="1" applyBorder="1" applyAlignment="1" applyProtection="1">
      <alignment horizontal="center"/>
      <protection hidden="1"/>
    </xf>
    <xf numFmtId="0" fontId="8" fillId="8" borderId="18" xfId="0" applyFont="1" applyFill="1" applyBorder="1" applyAlignment="1" applyProtection="1">
      <alignment horizontal="center"/>
      <protection hidden="1"/>
    </xf>
    <xf numFmtId="0" fontId="8" fillId="8" borderId="10" xfId="0" applyFont="1" applyFill="1" applyBorder="1" applyAlignment="1" applyProtection="1">
      <alignment horizontal="center"/>
      <protection hidden="1"/>
    </xf>
    <xf numFmtId="0" fontId="23" fillId="8" borderId="18" xfId="0" applyFont="1" applyFill="1" applyBorder="1" applyAlignment="1" applyProtection="1">
      <alignment horizontal="center"/>
      <protection hidden="1"/>
    </xf>
    <xf numFmtId="0" fontId="23" fillId="8" borderId="10" xfId="0" applyFont="1" applyFill="1" applyBorder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48" xfId="0" applyFill="1" applyBorder="1" applyAlignment="1" applyProtection="1">
      <alignment horizontal="center"/>
      <protection hidden="1"/>
    </xf>
    <xf numFmtId="0" fontId="6" fillId="4" borderId="19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11" fillId="8" borderId="18" xfId="0" applyFont="1" applyFill="1" applyBorder="1" applyAlignment="1" applyProtection="1">
      <alignment horizontal="center"/>
      <protection hidden="1"/>
    </xf>
    <xf numFmtId="0" fontId="11" fillId="8" borderId="19" xfId="0" applyFont="1" applyFill="1" applyBorder="1" applyAlignment="1" applyProtection="1">
      <alignment horizontal="center"/>
      <protection hidden="1"/>
    </xf>
    <xf numFmtId="0" fontId="11" fillId="8" borderId="37" xfId="0" applyFont="1" applyFill="1" applyBorder="1" applyAlignment="1" applyProtection="1">
      <alignment horizontal="center"/>
      <protection hidden="1"/>
    </xf>
    <xf numFmtId="0" fontId="6" fillId="8" borderId="18" xfId="0" applyFont="1" applyFill="1" applyBorder="1" applyAlignment="1" applyProtection="1">
      <alignment horizontal="center"/>
      <protection hidden="1"/>
    </xf>
    <xf numFmtId="0" fontId="6" fillId="8" borderId="19" xfId="0" applyFont="1" applyFill="1" applyBorder="1" applyAlignment="1" applyProtection="1">
      <alignment horizontal="center"/>
      <protection hidden="1"/>
    </xf>
    <xf numFmtId="0" fontId="6" fillId="8" borderId="37" xfId="0" applyFont="1" applyFill="1" applyBorder="1" applyAlignment="1" applyProtection="1">
      <alignment horizontal="center"/>
      <protection hidden="1"/>
    </xf>
    <xf numFmtId="0" fontId="0" fillId="8" borderId="18" xfId="0" applyFill="1" applyBorder="1" applyAlignment="1" applyProtection="1">
      <alignment horizontal="left"/>
      <protection hidden="1"/>
    </xf>
    <xf numFmtId="0" fontId="0" fillId="8" borderId="19" xfId="0" applyFill="1" applyBorder="1" applyAlignment="1" applyProtection="1">
      <alignment horizontal="left"/>
      <protection hidden="1"/>
    </xf>
    <xf numFmtId="0" fontId="0" fillId="8" borderId="37" xfId="0" applyFill="1" applyBorder="1" applyAlignment="1" applyProtection="1">
      <alignment horizontal="left"/>
      <protection hidden="1"/>
    </xf>
    <xf numFmtId="0" fontId="0" fillId="8" borderId="1" xfId="0" applyFill="1" applyBorder="1" applyAlignment="1" applyProtection="1">
      <alignment horizontal="left"/>
      <protection hidden="1"/>
    </xf>
    <xf numFmtId="0" fontId="0" fillId="8" borderId="38" xfId="0" applyFill="1" applyBorder="1" applyAlignment="1" applyProtection="1">
      <alignment horizontal="left"/>
      <protection hidden="1"/>
    </xf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1" fillId="3" borderId="13" xfId="0" applyFont="1" applyFill="1" applyBorder="1" applyAlignment="1" applyProtection="1">
      <alignment horizontal="left" vertical="center"/>
      <protection hidden="1"/>
    </xf>
    <xf numFmtId="0" fontId="20" fillId="4" borderId="23" xfId="0" applyFont="1" applyFill="1" applyBorder="1" applyAlignment="1" applyProtection="1">
      <alignment horizontal="center" vertical="center"/>
      <protection hidden="1"/>
    </xf>
    <xf numFmtId="0" fontId="20" fillId="4" borderId="27" xfId="0" applyFont="1" applyFill="1" applyBorder="1" applyAlignment="1" applyProtection="1">
      <alignment horizontal="center" vertical="center"/>
      <protection hidden="1"/>
    </xf>
    <xf numFmtId="0" fontId="20" fillId="4" borderId="24" xfId="0" applyFont="1" applyFill="1" applyBorder="1" applyAlignment="1" applyProtection="1">
      <alignment horizontal="center" vertical="center"/>
      <protection hidden="1"/>
    </xf>
    <xf numFmtId="0" fontId="20" fillId="4" borderId="25" xfId="0" applyFont="1" applyFill="1" applyBorder="1" applyAlignment="1" applyProtection="1">
      <alignment horizontal="center" vertical="center"/>
      <protection hidden="1"/>
    </xf>
    <xf numFmtId="0" fontId="20" fillId="4" borderId="26" xfId="0" applyFont="1" applyFill="1" applyBorder="1" applyAlignment="1" applyProtection="1">
      <alignment horizontal="center" vertical="center"/>
      <protection hidden="1"/>
    </xf>
    <xf numFmtId="0" fontId="20" fillId="4" borderId="28" xfId="0" applyFon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2" fontId="8" fillId="4" borderId="35" xfId="0" applyNumberFormat="1" applyFont="1" applyFill="1" applyBorder="1" applyAlignment="1" applyProtection="1">
      <alignment horizontal="center"/>
      <protection locked="0"/>
    </xf>
    <xf numFmtId="2" fontId="8" fillId="4" borderId="36" xfId="0" applyNumberFormat="1" applyFont="1" applyFill="1" applyBorder="1" applyAlignment="1" applyProtection="1">
      <alignment horizontal="center"/>
      <protection locked="0"/>
    </xf>
    <xf numFmtId="0" fontId="11" fillId="5" borderId="39" xfId="0" applyFont="1" applyFill="1" applyBorder="1" applyAlignment="1" applyProtection="1">
      <alignment horizontal="center"/>
      <protection hidden="1"/>
    </xf>
    <xf numFmtId="0" fontId="11" fillId="5" borderId="40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  <xf numFmtId="0" fontId="11" fillId="4" borderId="18" xfId="0" applyFont="1" applyFill="1" applyBorder="1" applyAlignment="1" applyProtection="1">
      <alignment horizontal="center"/>
      <protection hidden="1"/>
    </xf>
    <xf numFmtId="0" fontId="11" fillId="4" borderId="19" xfId="0" applyFont="1" applyFill="1" applyBorder="1" applyAlignment="1" applyProtection="1">
      <alignment horizontal="center"/>
      <protection hidden="1"/>
    </xf>
    <xf numFmtId="0" fontId="11" fillId="4" borderId="10" xfId="0" applyFont="1" applyFill="1" applyBorder="1" applyAlignment="1" applyProtection="1">
      <alignment horizontal="center"/>
      <protection hidden="1"/>
    </xf>
  </cellXfs>
  <cellStyles count="24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  <cellStyle name="Procentowy" xfId="23" builtinId="5"/>
  </cellStyles>
  <dxfs count="0"/>
  <tableStyles count="0" defaultTableStyle="TableStyleMedium2" defaultPivotStyle="PivotStyleLight16"/>
  <colors>
    <mruColors>
      <color rgb="FFE0E0E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8</xdr:row>
          <xdr:rowOff>38100</xdr:rowOff>
        </xdr:from>
        <xdr:to>
          <xdr:col>13</xdr:col>
          <xdr:colOff>447673</xdr:colOff>
          <xdr:row>11</xdr:row>
          <xdr:rowOff>47625</xdr:rowOff>
        </xdr:to>
        <xdr:grpSp>
          <xdr:nvGrpSpPr>
            <xdr:cNvPr id="4" name="Groep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5848350" y="1409700"/>
              <a:ext cx="949323" cy="568325"/>
              <a:chOff x="9363073" y="609607"/>
              <a:chExt cx="1113888" cy="476249"/>
            </a:xfrm>
          </xdr:grpSpPr>
          <xdr:sp macro="" textlink="">
            <xdr:nvSpPr>
              <xdr:cNvPr id="2051" name="rbtnSI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9363075" y="609607"/>
                <a:ext cx="90718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2" name="rbtnImperial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000-000004080000}"/>
                  </a:ext>
                </a:extLst>
              </xdr:cNvPr>
              <xdr:cNvSpPr/>
            </xdr:nvSpPr>
            <xdr:spPr bwMode="auto">
              <a:xfrm>
                <a:off x="9363073" y="828681"/>
                <a:ext cx="1113888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12</xdr:col>
      <xdr:colOff>242448</xdr:colOff>
      <xdr:row>0</xdr:row>
      <xdr:rowOff>57151</xdr:rowOff>
    </xdr:from>
    <xdr:to>
      <xdr:col>14</xdr:col>
      <xdr:colOff>19050</xdr:colOff>
      <xdr:row>2</xdr:row>
      <xdr:rowOff>152401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66973" y="57151"/>
          <a:ext cx="757677" cy="476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0</xdr:row>
          <xdr:rowOff>171450</xdr:rowOff>
        </xdr:from>
        <xdr:to>
          <xdr:col>5</xdr:col>
          <xdr:colOff>374650</xdr:colOff>
          <xdr:row>3</xdr:row>
          <xdr:rowOff>133350</xdr:rowOff>
        </xdr:to>
        <xdr:sp macro="" textlink="">
          <xdr:nvSpPr>
            <xdr:cNvPr id="2055" name="btnCopy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228599</xdr:colOff>
      <xdr:row>3</xdr:row>
      <xdr:rowOff>9524</xdr:rowOff>
    </xdr:from>
    <xdr:to>
      <xdr:col>16</xdr:col>
      <xdr:colOff>104775</xdr:colOff>
      <xdr:row>4</xdr:row>
      <xdr:rowOff>161925</xdr:rowOff>
    </xdr:to>
    <xdr:pic>
      <xdr:nvPicPr>
        <xdr:cNvPr id="2" name="dimg_3" descr="Icoon voor Geverifieerd door de community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4" y="581024"/>
          <a:ext cx="342901" cy="342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1">
    <pageSetUpPr fitToPage="1"/>
  </sheetPr>
  <dimension ref="A1:WKR55"/>
  <sheetViews>
    <sheetView tabSelected="1" zoomScaleNormal="100" workbookViewId="0">
      <selection activeCell="K2" sqref="K2:L2"/>
    </sheetView>
  </sheetViews>
  <sheetFormatPr defaultColWidth="0" defaultRowHeight="0" customHeight="1" zeroHeight="1"/>
  <cols>
    <col min="1" max="1" width="2" style="144" customWidth="1"/>
    <col min="2" max="2" width="7" style="144" customWidth="1"/>
    <col min="3" max="3" width="6.1796875" style="144" customWidth="1"/>
    <col min="4" max="4" width="7.26953125" style="144" customWidth="1"/>
    <col min="5" max="5" width="7.1796875" style="144" customWidth="1"/>
    <col min="6" max="6" width="7.54296875" style="144" customWidth="1"/>
    <col min="7" max="7" width="6.7265625" style="144" customWidth="1"/>
    <col min="8" max="8" width="8.54296875" style="144" customWidth="1"/>
    <col min="9" max="9" width="7.7265625" style="144" customWidth="1"/>
    <col min="10" max="10" width="7" style="144" customWidth="1"/>
    <col min="11" max="11" width="7.81640625" style="144" customWidth="1"/>
    <col min="12" max="12" width="8.1796875" style="144" customWidth="1"/>
    <col min="13" max="13" width="7.7265625" style="144" customWidth="1"/>
    <col min="14" max="14" width="7" style="144" customWidth="1"/>
    <col min="15" max="15" width="2" style="144" customWidth="1"/>
    <col min="16" max="16" width="7" style="144" hidden="1" customWidth="1"/>
    <col min="17" max="17" width="2" style="144" hidden="1" customWidth="1"/>
    <col min="18" max="18" width="2.7265625" style="144" hidden="1"/>
    <col min="19" max="15780" width="0.1796875" style="144" hidden="1"/>
    <col min="15781" max="15782" width="0" style="144" hidden="1"/>
    <col min="15783" max="15790" width="0.1796875" style="144" hidden="1"/>
    <col min="15791" max="15792" width="0" style="144" hidden="1"/>
    <col min="15793" max="15800" width="0.1796875" style="144" hidden="1"/>
    <col min="15801" max="15802" width="0" style="144" hidden="1"/>
    <col min="15803" max="15810" width="0.1796875" style="144" hidden="1"/>
    <col min="15811" max="15812" width="0" style="144" hidden="1"/>
    <col min="15813" max="15820" width="0.1796875" style="144" hidden="1"/>
    <col min="15821" max="15822" width="0" style="144" hidden="1"/>
    <col min="15823" max="15830" width="0.1796875" style="144" hidden="1"/>
    <col min="15831" max="15832" width="0" style="144" hidden="1"/>
    <col min="15833" max="15840" width="0.1796875" style="144" hidden="1"/>
    <col min="15841" max="15842" width="0" style="144" hidden="1"/>
    <col min="15843" max="15850" width="0.1796875" style="144" hidden="1"/>
    <col min="15851" max="15852" width="0" style="144" hidden="1"/>
    <col min="15853" max="16384" width="0.1796875" style="144" hidden="1"/>
  </cols>
  <sheetData>
    <row r="1" spans="2:16" ht="14.5">
      <c r="B1" s="143"/>
      <c r="O1" s="233"/>
      <c r="P1" s="233"/>
    </row>
    <row r="2" spans="2:16" ht="14.5">
      <c r="B2" s="231" t="s">
        <v>78</v>
      </c>
      <c r="C2" s="232"/>
      <c r="G2" s="238" t="s">
        <v>211</v>
      </c>
      <c r="H2" s="239">
        <v>0</v>
      </c>
      <c r="I2" s="239">
        <v>0</v>
      </c>
      <c r="J2" s="240">
        <v>0</v>
      </c>
      <c r="K2" s="236" t="s">
        <v>60</v>
      </c>
      <c r="L2" s="237"/>
      <c r="M2" s="145"/>
      <c r="N2" s="145"/>
      <c r="O2" s="233"/>
      <c r="P2" s="233"/>
    </row>
    <row r="3" spans="2:16" ht="14.5">
      <c r="B3" s="229" t="str">
        <f>HLOOKUP(K2,cal!E1:M2,2,FALSE)</f>
        <v>unit heater</v>
      </c>
      <c r="C3" s="230"/>
      <c r="O3" s="234"/>
      <c r="P3" s="234"/>
    </row>
    <row r="4" spans="2:16" ht="14.5">
      <c r="B4" s="145"/>
      <c r="G4" s="241" t="str">
        <f>IF(cal!$S$7=1,"Uitvoering",IF(cal!$S$7=2,"Version",IF(cal!$S$7=3,"Ausführung",IF(cal!$S$7=4,"Version",IF(cal!$S$7=5,"Modell",IF(cal!$S$7=6,"Montaje",IF(cal!$S$7=7,"Version",IF(cal!$S$7=8,"Verze",IF(cal!$S$7=9,"ExtraTaal1",IF(cal!$S$7=10,"ExtraTaal2",IF(cal!$S$7=11,"ExtraTaal3",)))))))))))</f>
        <v>Version</v>
      </c>
      <c r="H4" s="242"/>
      <c r="I4" s="242"/>
      <c r="J4" s="243"/>
      <c r="K4" s="236" t="s">
        <v>222</v>
      </c>
      <c r="L4" s="236"/>
      <c r="M4" s="237"/>
      <c r="N4" s="146"/>
      <c r="O4" s="235"/>
      <c r="P4" s="235"/>
    </row>
    <row r="5" spans="2:16" ht="6" customHeight="1">
      <c r="B5" s="147"/>
      <c r="C5" s="148"/>
      <c r="D5" s="148"/>
      <c r="E5" s="148"/>
      <c r="F5" s="148"/>
      <c r="G5" s="148"/>
      <c r="H5" s="148"/>
      <c r="I5" s="148"/>
      <c r="J5" s="148"/>
      <c r="K5" s="149"/>
      <c r="L5" s="149"/>
      <c r="M5" s="149"/>
      <c r="N5" s="149"/>
      <c r="O5" s="150"/>
      <c r="P5" s="151"/>
    </row>
    <row r="6" spans="2:16" ht="14.5">
      <c r="B6" s="134" t="str">
        <f>cal!B7</f>
        <v>Temperatures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2"/>
      <c r="P6" s="153"/>
    </row>
    <row r="7" spans="2:16" ht="14.5">
      <c r="B7" s="134" t="str">
        <f>cal!B8</f>
        <v>Heating:</v>
      </c>
      <c r="C7" s="149"/>
      <c r="D7" s="149"/>
      <c r="E7" s="149"/>
      <c r="F7" s="149"/>
      <c r="G7" s="135" t="str">
        <f>cal!G8</f>
        <v>Cooling:</v>
      </c>
      <c r="H7" s="135"/>
      <c r="I7" s="135"/>
      <c r="J7" s="149"/>
      <c r="K7" s="149"/>
      <c r="L7" s="149"/>
      <c r="M7" s="149"/>
      <c r="N7" s="149"/>
      <c r="O7" s="181"/>
      <c r="P7" s="154"/>
    </row>
    <row r="8" spans="2:16" ht="15" thickBot="1">
      <c r="B8" s="244" t="str">
        <f>cal!B9</f>
        <v>Supply water</v>
      </c>
      <c r="C8" s="245">
        <f>cal!C9</f>
        <v>0</v>
      </c>
      <c r="D8" s="246">
        <f>cal!D9</f>
        <v>0</v>
      </c>
      <c r="E8" s="109">
        <v>75</v>
      </c>
      <c r="F8" s="133" t="str">
        <f>cal!F9</f>
        <v>°C</v>
      </c>
      <c r="G8" s="247" t="str">
        <f>cal!G9</f>
        <v>Supply water</v>
      </c>
      <c r="H8" s="247">
        <f>cal!H9</f>
        <v>0</v>
      </c>
      <c r="I8" s="247">
        <f>cal!I9</f>
        <v>0</v>
      </c>
      <c r="J8" s="248">
        <f>cal!J9</f>
        <v>0</v>
      </c>
      <c r="K8" s="109">
        <v>16</v>
      </c>
      <c r="L8" s="149" t="str">
        <f>cal!L9</f>
        <v>°C</v>
      </c>
      <c r="M8" s="227" t="str">
        <f>cal!M9</f>
        <v>Unit conversion</v>
      </c>
      <c r="N8" s="228"/>
      <c r="O8" s="149"/>
      <c r="P8" s="155"/>
    </row>
    <row r="9" spans="2:16" ht="15" thickTop="1">
      <c r="B9" s="244" t="str">
        <f>cal!B10</f>
        <v>Return water</v>
      </c>
      <c r="C9" s="245">
        <f>cal!C10</f>
        <v>0</v>
      </c>
      <c r="D9" s="246">
        <f>cal!D10</f>
        <v>0</v>
      </c>
      <c r="E9" s="109">
        <v>65</v>
      </c>
      <c r="F9" s="133" t="str">
        <f>cal!F10</f>
        <v>°C</v>
      </c>
      <c r="G9" s="247" t="str">
        <f>cal!G10</f>
        <v>Return water</v>
      </c>
      <c r="H9" s="247">
        <f>cal!H10</f>
        <v>0</v>
      </c>
      <c r="I9" s="247">
        <f>cal!I10</f>
        <v>0</v>
      </c>
      <c r="J9" s="248">
        <f>cal!J10</f>
        <v>0</v>
      </c>
      <c r="K9" s="109">
        <v>18.222222222222221</v>
      </c>
      <c r="L9" s="149" t="str">
        <f>cal!L10</f>
        <v>°C</v>
      </c>
      <c r="M9" s="252"/>
      <c r="N9" s="253"/>
      <c r="O9" s="149"/>
      <c r="P9" s="155"/>
    </row>
    <row r="10" spans="2:16" ht="14.5">
      <c r="B10" s="244" t="str">
        <f>cal!B11</f>
        <v>Entering air</v>
      </c>
      <c r="C10" s="245">
        <f>cal!C11</f>
        <v>0</v>
      </c>
      <c r="D10" s="246">
        <f>cal!D11</f>
        <v>0</v>
      </c>
      <c r="E10" s="109">
        <v>20</v>
      </c>
      <c r="F10" s="133" t="str">
        <f>cal!F11</f>
        <v>°C</v>
      </c>
      <c r="G10" s="247" t="str">
        <f>cal!G11</f>
        <v>Entering air</v>
      </c>
      <c r="H10" s="247">
        <f>cal!H11</f>
        <v>0</v>
      </c>
      <c r="I10" s="247">
        <f>cal!I11</f>
        <v>0</v>
      </c>
      <c r="J10" s="248">
        <f>cal!J11</f>
        <v>0</v>
      </c>
      <c r="K10" s="109">
        <v>27</v>
      </c>
      <c r="L10" s="149" t="str">
        <f>cal!L11</f>
        <v>°C</v>
      </c>
      <c r="M10" s="254"/>
      <c r="N10" s="255"/>
      <c r="O10" s="149"/>
      <c r="P10" s="155"/>
    </row>
    <row r="11" spans="2:16" ht="14.5">
      <c r="B11" s="156"/>
      <c r="C11" s="149"/>
      <c r="D11" s="149"/>
      <c r="E11" s="149"/>
      <c r="F11" s="149"/>
      <c r="G11" s="247" t="str">
        <f>cal!G12</f>
        <v>Relative humidity</v>
      </c>
      <c r="H11" s="247">
        <f>cal!H12</f>
        <v>0</v>
      </c>
      <c r="I11" s="247">
        <f>cal!I12</f>
        <v>0</v>
      </c>
      <c r="J11" s="248">
        <f>cal!J12</f>
        <v>0</v>
      </c>
      <c r="K11" s="225">
        <v>0.5</v>
      </c>
      <c r="L11" s="149"/>
      <c r="M11" s="254"/>
      <c r="N11" s="255"/>
      <c r="O11" s="149"/>
      <c r="P11" s="155"/>
    </row>
    <row r="12" spans="2:16" ht="6" customHeight="1">
      <c r="B12" s="157"/>
      <c r="C12" s="158"/>
      <c r="D12" s="158"/>
      <c r="E12" s="158"/>
      <c r="F12" s="159"/>
      <c r="G12" s="159"/>
      <c r="H12" s="159"/>
      <c r="I12" s="159"/>
      <c r="J12" s="159"/>
      <c r="K12" s="159"/>
      <c r="L12" s="159"/>
      <c r="M12" s="256"/>
      <c r="N12" s="257"/>
      <c r="O12" s="160"/>
      <c r="P12" s="161"/>
    </row>
    <row r="13" spans="2:16" ht="14.5">
      <c r="B13" s="162"/>
      <c r="C13" s="162"/>
      <c r="D13" s="163">
        <f>cal!D14</f>
        <v>1</v>
      </c>
      <c r="E13" s="163">
        <f>cal!E14</f>
        <v>1</v>
      </c>
      <c r="F13" s="163">
        <f>cal!F14</f>
        <v>1</v>
      </c>
      <c r="G13" s="163">
        <f>cal!G14</f>
        <v>1</v>
      </c>
      <c r="H13" s="163">
        <f>cal!H14</f>
        <v>1</v>
      </c>
      <c r="I13" s="163">
        <f>cal!I14</f>
        <v>1</v>
      </c>
      <c r="J13" s="163">
        <f>cal!J14</f>
        <v>1</v>
      </c>
      <c r="K13" s="164">
        <f>cal!K14</f>
        <v>3.3444444444444401E-4</v>
      </c>
      <c r="L13" s="164">
        <f>cal!L14</f>
        <v>0</v>
      </c>
      <c r="M13" s="164">
        <f>cal!M14</f>
        <v>1</v>
      </c>
      <c r="N13" s="163">
        <f>cal!N14</f>
        <v>1</v>
      </c>
    </row>
    <row r="14" spans="2:16" s="169" customFormat="1" ht="103.5" customHeight="1">
      <c r="B14" s="165" t="str">
        <f>cal!B15</f>
        <v>Speed level</v>
      </c>
      <c r="C14" s="166" t="str">
        <f>cal!C15</f>
        <v>Control voltage [V]</v>
      </c>
      <c r="D14" s="167" t="str">
        <f>cal!D15</f>
        <v>Heat output  75/65/20 [W]</v>
      </c>
      <c r="E14" s="167" t="str">
        <f>cal!O15</f>
        <v>Air exhaust temp. heating  [°C]</v>
      </c>
      <c r="F14" s="187" t="str">
        <f>cal!G15</f>
        <v>Sens. cooling capacity  16/18/27 [W]</v>
      </c>
      <c r="G14" s="188" t="str">
        <f>cal!P15</f>
        <v>Air exhaust temp. cooling  [°C]</v>
      </c>
      <c r="H14" s="168" t="str">
        <f>cal!K15</f>
        <v>Sound pressure ** [dB(A)]</v>
      </c>
      <c r="I14" s="168" t="str">
        <f>cal!L15</f>
        <v>Sound power * [dB(A)]</v>
      </c>
      <c r="J14" s="210" t="str">
        <f>cal!I15</f>
        <v>RPM [u/min]</v>
      </c>
      <c r="K14" s="212" t="str">
        <f>cal!M15</f>
        <v>Electrical power [W]</v>
      </c>
      <c r="L14" s="211" t="str">
        <f>cal!N15</f>
        <v>Air flowrate [m³/h]</v>
      </c>
      <c r="M14" s="216"/>
      <c r="N14" s="211"/>
    </row>
    <row r="15" spans="2:16" ht="18" customHeight="1">
      <c r="B15" s="249" t="str">
        <f>cal!B16</f>
        <v>Luchtverhitter height 41 cm width 41 cm length 43 cm (Type 021)</v>
      </c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1"/>
    </row>
    <row r="16" spans="2:16" ht="14.5">
      <c r="B16" s="170">
        <f>cal!B17</f>
        <v>0.2</v>
      </c>
      <c r="C16" s="171">
        <f>cal!C17</f>
        <v>2</v>
      </c>
      <c r="D16" s="173">
        <f>IF($E$8&lt;=$E$9,cal!$Z$3,cal!D17)</f>
        <v>4.4615384615384617</v>
      </c>
      <c r="E16" s="175">
        <f>IF($E$8&lt;=$E$9,"",cal!O17)</f>
        <v>42.324216692888413</v>
      </c>
      <c r="F16" s="172">
        <f>IF($K$8&gt;=$K$9,cal!$Z$3,cal!G17)</f>
        <v>882.39316239316247</v>
      </c>
      <c r="G16" s="177">
        <f>IF($K$8&gt;=$K$9,"",cal!P17)</f>
        <v>22.584766031850958</v>
      </c>
      <c r="H16" s="173">
        <f>cal!K17</f>
        <v>34</v>
      </c>
      <c r="I16" s="174">
        <f>cal!L17</f>
        <v>50</v>
      </c>
      <c r="J16" s="144">
        <f>cal!I17</f>
        <v>731</v>
      </c>
      <c r="K16" s="175">
        <f>cal!M17</f>
        <v>10</v>
      </c>
      <c r="L16" s="176">
        <f>cal!N17</f>
        <v>594</v>
      </c>
      <c r="M16" s="217"/>
      <c r="N16" s="218"/>
    </row>
    <row r="17" spans="2:16" ht="14.5">
      <c r="B17" s="170">
        <f>cal!B18</f>
        <v>0.4</v>
      </c>
      <c r="C17" s="171">
        <f>cal!C18</f>
        <v>4</v>
      </c>
      <c r="D17" s="173">
        <f>IF($E$8&lt;=$E$9,cal!$Z$4,cal!D18)</f>
        <v>5.4615384615384617</v>
      </c>
      <c r="E17" s="175">
        <f>IF($E$8&lt;=$E$9,"",cal!O18)</f>
        <v>39.165035109837476</v>
      </c>
      <c r="F17" s="172">
        <f>IF($K$8&gt;=$K$9,cal!$Z$5,cal!G18)</f>
        <v>1080.1709401709402</v>
      </c>
      <c r="G17" s="177">
        <f>IF($K$8&gt;=$K$9,"",cal!P18)</f>
        <v>23.209581944943253</v>
      </c>
      <c r="H17" s="173">
        <f>cal!K18</f>
        <v>42.4</v>
      </c>
      <c r="I17" s="174">
        <f>cal!L18</f>
        <v>58.4</v>
      </c>
      <c r="J17" s="144">
        <f>cal!I18</f>
        <v>984</v>
      </c>
      <c r="K17" s="175">
        <f>cal!M18</f>
        <v>20</v>
      </c>
      <c r="L17" s="176">
        <f>cal!N18</f>
        <v>847</v>
      </c>
      <c r="M17" s="219"/>
      <c r="N17" s="220"/>
    </row>
    <row r="18" spans="2:16" ht="14.5">
      <c r="B18" s="170">
        <f>cal!B19</f>
        <v>0.6</v>
      </c>
      <c r="C18" s="171">
        <f>cal!C19</f>
        <v>6</v>
      </c>
      <c r="D18" s="173">
        <f>IF($E$8&lt;=$E$9,"",cal!D19)</f>
        <v>6.3846153846153859</v>
      </c>
      <c r="E18" s="175">
        <f>IF($E$8&lt;=$E$9,"",cal!O19)</f>
        <v>36.5877220188206</v>
      </c>
      <c r="F18" s="172">
        <f>IF($K$8&gt;=$K$9,"",cal!G19)</f>
        <v>1262.735042735043</v>
      </c>
      <c r="G18" s="177">
        <f>IF($K$8&gt;=$K$9,"",cal!P19)</f>
        <v>23.719317200722148</v>
      </c>
      <c r="H18" s="173">
        <f>cal!K19</f>
        <v>50.099999999999994</v>
      </c>
      <c r="I18" s="174">
        <f>cal!L19</f>
        <v>66.099999999999994</v>
      </c>
      <c r="J18" s="144">
        <f>cal!I19</f>
        <v>1286</v>
      </c>
      <c r="K18" s="175">
        <f>cal!M19</f>
        <v>43</v>
      </c>
      <c r="L18" s="176">
        <f>cal!N19</f>
        <v>1144</v>
      </c>
      <c r="M18" s="219"/>
      <c r="N18" s="220"/>
    </row>
    <row r="19" spans="2:16" ht="14.5">
      <c r="B19" s="170">
        <f>cal!B20</f>
        <v>0.8</v>
      </c>
      <c r="C19" s="171">
        <f>cal!C20</f>
        <v>8</v>
      </c>
      <c r="D19" s="173">
        <f>IF($E$8&lt;=$E$9,"",cal!D20)</f>
        <v>7.0769230769230766</v>
      </c>
      <c r="E19" s="175">
        <f>IF($E$8&lt;=$E$9,"",cal!O20)</f>
        <v>35.874740323135534</v>
      </c>
      <c r="F19" s="172">
        <f>IF($K$8&gt;=$K$9,"",cal!G20)</f>
        <v>1399.6581196581199</v>
      </c>
      <c r="G19" s="177">
        <f>IF($K$8&gt;=$K$9,"",cal!P20)</f>
        <v>23.860329136090972</v>
      </c>
      <c r="H19" s="173">
        <f>cal!K20</f>
        <v>53.900000000000006</v>
      </c>
      <c r="I19" s="174">
        <f>cal!L20</f>
        <v>69.900000000000006</v>
      </c>
      <c r="J19" s="144">
        <f>cal!I20</f>
        <v>1469</v>
      </c>
      <c r="K19" s="175">
        <f>cal!M20</f>
        <v>63</v>
      </c>
      <c r="L19" s="176">
        <f>cal!N20</f>
        <v>1325</v>
      </c>
      <c r="M19" s="219"/>
      <c r="N19" s="220"/>
    </row>
    <row r="20" spans="2:16" ht="14.5">
      <c r="B20" s="170">
        <f>cal!B21</f>
        <v>1</v>
      </c>
      <c r="C20" s="171">
        <f>cal!C21</f>
        <v>10</v>
      </c>
      <c r="D20" s="173">
        <f>IF($E$8&lt;=$E$9,"",cal!D21)</f>
        <v>7.3076923076923084</v>
      </c>
      <c r="E20" s="175">
        <f>IF($E$8&lt;=$E$9,"",cal!O21)</f>
        <v>35.27420762378987</v>
      </c>
      <c r="F20" s="172">
        <f>IF($K$8&gt;=$K$9,"",cal!G21)</f>
        <v>1445.2991452991455</v>
      </c>
      <c r="G20" s="177">
        <f>IF($K$8&gt;=$K$9,"",cal!P21)</f>
        <v>23.979101158850447</v>
      </c>
      <c r="H20" s="173">
        <f>cal!K21</f>
        <v>55.400000000000006</v>
      </c>
      <c r="I20" s="174">
        <f>cal!L21</f>
        <v>71.400000000000006</v>
      </c>
      <c r="J20" s="144">
        <f>cal!I21</f>
        <v>1559</v>
      </c>
      <c r="K20" s="175">
        <f>cal!M21</f>
        <v>76</v>
      </c>
      <c r="L20" s="176">
        <f>cal!N21</f>
        <v>1422</v>
      </c>
      <c r="M20" s="209"/>
      <c r="N20" s="208"/>
    </row>
    <row r="21" spans="2:16" ht="16.899999999999999" customHeight="1">
      <c r="B21" s="249" t="str">
        <f>cal!B22</f>
        <v>Luchtverhitter height 41 cm width 41 cm length 43 cm (Type 031)</v>
      </c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1"/>
    </row>
    <row r="22" spans="2:16" ht="14.5">
      <c r="B22" s="170">
        <f>cal!B23</f>
        <v>0.2</v>
      </c>
      <c r="C22" s="171">
        <f>cal!C23</f>
        <v>2</v>
      </c>
      <c r="D22" s="173">
        <f>IF($E$8&lt;=$E$9,cal!$Z$3,cal!D23)</f>
        <v>5.3076923076923084</v>
      </c>
      <c r="E22" s="175">
        <f>IF($E$8&lt;=$E$9,"",cal!O23)</f>
        <v>48.120362203415226</v>
      </c>
      <c r="F22" s="172">
        <f>IF($K$8&gt;=$K$9,cal!$Z$3,cal!G23)</f>
        <v>1049.7435897435898</v>
      </c>
      <c r="G22" s="177">
        <f>IF($K$8&gt;=$K$9,"",cal!P23)</f>
        <v>21.438417253102322</v>
      </c>
      <c r="H22" s="173">
        <f>cal!K23</f>
        <v>33</v>
      </c>
      <c r="I22" s="174">
        <f>cal!L23</f>
        <v>49</v>
      </c>
      <c r="J22" s="144">
        <f>cal!I23</f>
        <v>731</v>
      </c>
      <c r="K22" s="175">
        <f>cal!M23</f>
        <v>11</v>
      </c>
      <c r="L22" s="176">
        <f>cal!N23</f>
        <v>561</v>
      </c>
      <c r="M22" s="217"/>
      <c r="N22" s="218"/>
    </row>
    <row r="23" spans="2:16" ht="14.5">
      <c r="B23" s="170">
        <f>cal!B24</f>
        <v>0.4</v>
      </c>
      <c r="C23" s="171">
        <f>cal!C24</f>
        <v>4</v>
      </c>
      <c r="D23" s="173">
        <f>IF($E$8&lt;=$E$9,cal!$Z$4,cal!D24)</f>
        <v>6.5384615384615392</v>
      </c>
      <c r="E23" s="175">
        <f>IF($E$8&lt;=$E$9,"",cal!O24)</f>
        <v>44.322422442361926</v>
      </c>
      <c r="F23" s="172">
        <f>IF($K$8&gt;=$K$9,cal!$Z$5,cal!G24)</f>
        <v>1293.1623931623933</v>
      </c>
      <c r="G23" s="177">
        <f>IF($K$8&gt;=$K$9,"",cal!P24)</f>
        <v>22.189565339177307</v>
      </c>
      <c r="H23" s="173">
        <f>cal!K24</f>
        <v>41.4</v>
      </c>
      <c r="I23" s="174">
        <f>cal!L24</f>
        <v>57.4</v>
      </c>
      <c r="J23" s="144">
        <f>cal!I24</f>
        <v>984</v>
      </c>
      <c r="K23" s="175">
        <f>cal!M24</f>
        <v>21</v>
      </c>
      <c r="L23" s="176">
        <f>cal!N24</f>
        <v>799</v>
      </c>
      <c r="M23" s="219"/>
      <c r="N23" s="220"/>
    </row>
    <row r="24" spans="2:16" ht="14.5">
      <c r="B24" s="170">
        <f>cal!B25</f>
        <v>0.6</v>
      </c>
      <c r="C24" s="171">
        <f>cal!C25</f>
        <v>6</v>
      </c>
      <c r="D24" s="173">
        <f>IF($E$8&lt;=$E$9,"",cal!D25)</f>
        <v>8.0769230769230766</v>
      </c>
      <c r="E24" s="175">
        <f>IF($E$8&lt;=$E$9,"",cal!O25)</f>
        <v>42.227991620936308</v>
      </c>
      <c r="F24" s="172">
        <f>IF($K$8&gt;=$K$9,"",cal!G25)</f>
        <v>1597.4358974358977</v>
      </c>
      <c r="G24" s="177">
        <f>IF($K$8&gt;=$K$9,"",cal!P25)</f>
        <v>22.603797212748152</v>
      </c>
      <c r="H24" s="173">
        <f>cal!K25</f>
        <v>49</v>
      </c>
      <c r="I24" s="174">
        <f>cal!L25</f>
        <v>65</v>
      </c>
      <c r="J24" s="144">
        <f>cal!I25</f>
        <v>1286</v>
      </c>
      <c r="K24" s="175">
        <f>cal!M25</f>
        <v>45</v>
      </c>
      <c r="L24" s="176">
        <f>cal!N25</f>
        <v>1080</v>
      </c>
      <c r="M24" s="219"/>
      <c r="N24" s="220"/>
    </row>
    <row r="25" spans="2:16" ht="14.5">
      <c r="B25" s="170">
        <f>cal!B26</f>
        <v>0.8</v>
      </c>
      <c r="C25" s="171">
        <f>cal!C26</f>
        <v>8</v>
      </c>
      <c r="D25" s="173">
        <f>IF($E$8&lt;=$E$9,"",cal!D26)</f>
        <v>9</v>
      </c>
      <c r="E25" s="175">
        <f>IF($E$8&lt;=$E$9,"",cal!O26)</f>
        <v>41.382733974508099</v>
      </c>
      <c r="F25" s="172">
        <f>IF($K$8&gt;=$K$9,"",cal!G26)</f>
        <v>1780.0000000000002</v>
      </c>
      <c r="G25" s="177">
        <f>IF($K$8&gt;=$K$9,"",cal!P26)</f>
        <v>22.770970391708396</v>
      </c>
      <c r="H25" s="173">
        <f>cal!K26</f>
        <v>52</v>
      </c>
      <c r="I25" s="174">
        <f>cal!L26</f>
        <v>68</v>
      </c>
      <c r="J25" s="144">
        <f>cal!I26</f>
        <v>1469</v>
      </c>
      <c r="K25" s="175">
        <f>cal!M26</f>
        <v>65</v>
      </c>
      <c r="L25" s="176">
        <f>cal!N26</f>
        <v>1251</v>
      </c>
      <c r="M25" s="219"/>
      <c r="N25" s="220"/>
    </row>
    <row r="26" spans="2:16" ht="14.5">
      <c r="B26" s="197">
        <f>cal!B27</f>
        <v>1</v>
      </c>
      <c r="C26" s="198">
        <f>cal!C27</f>
        <v>10</v>
      </c>
      <c r="D26" s="200">
        <f>IF($E$8&lt;=$E$9,"",cal!D27)</f>
        <v>9.6153846153846168</v>
      </c>
      <c r="E26" s="202">
        <f>IF($E$8&lt;=$E$9,"",cal!O27)</f>
        <v>41.295712645138046</v>
      </c>
      <c r="F26" s="199">
        <f>IF($K$8&gt;=$K$9,"",cal!G27)</f>
        <v>1901.7094017094018</v>
      </c>
      <c r="G26" s="178">
        <f>IF($K$8&gt;=$K$9,"",cal!P27)</f>
        <v>22.788181276850477</v>
      </c>
      <c r="H26" s="200">
        <f>cal!K27</f>
        <v>53.099999999999994</v>
      </c>
      <c r="I26" s="201">
        <f>cal!L27</f>
        <v>69.099999999999994</v>
      </c>
      <c r="J26" s="209">
        <f>cal!I27</f>
        <v>1559</v>
      </c>
      <c r="K26" s="202">
        <f>cal!M27</f>
        <v>79</v>
      </c>
      <c r="L26" s="203">
        <f>cal!N27</f>
        <v>1342</v>
      </c>
      <c r="M26" s="209"/>
      <c r="N26" s="208"/>
    </row>
    <row r="27" spans="2:16" ht="9.4" customHeight="1">
      <c r="B27" s="179" t="str">
        <f>cal!B46</f>
        <v>*Sound power according to ISO 3741:2010</v>
      </c>
      <c r="N27" s="180" t="s">
        <v>244</v>
      </c>
    </row>
    <row r="28" spans="2:16" ht="9.4" customHeight="1">
      <c r="B28" s="179" t="str">
        <f>cal!B47</f>
        <v>**Sound pressure with an assumed room damping of 16 dB(A)</v>
      </c>
      <c r="O28" s="180"/>
      <c r="P28" s="180"/>
    </row>
    <row r="29" spans="2:16" ht="9" hidden="1" customHeight="1"/>
    <row r="30" spans="2:16" ht="16.149999999999999" hidden="1" customHeight="1"/>
    <row r="31" spans="2:16" ht="14.5" hidden="1"/>
    <row r="32" spans="2:16" ht="14.5" hidden="1"/>
    <row r="33" s="144" customFormat="1" ht="14.5" hidden="1"/>
    <row r="34" s="144" customFormat="1" ht="14.5" hidden="1"/>
    <row r="35" s="144" customFormat="1" ht="14.5" hidden="1"/>
    <row r="36" s="144" customFormat="1" ht="14.5" hidden="1"/>
    <row r="37" s="144" customFormat="1" ht="14.5" hidden="1"/>
    <row r="38" s="144" customFormat="1" ht="0" hidden="1" customHeight="1"/>
    <row r="39" s="144" customFormat="1" ht="0" hidden="1" customHeight="1"/>
    <row r="40" s="144" customFormat="1" ht="0" hidden="1" customHeight="1"/>
    <row r="41" s="144" customFormat="1" ht="0" hidden="1" customHeight="1"/>
    <row r="42" s="144" customFormat="1" ht="0" hidden="1" customHeight="1"/>
    <row r="43" s="144" customFormat="1" ht="0" hidden="1" customHeight="1"/>
    <row r="44" s="144" customFormat="1" ht="0" hidden="1" customHeight="1"/>
    <row r="45" s="144" customFormat="1" ht="0" hidden="1" customHeight="1"/>
    <row r="46" s="144" customFormat="1" ht="0" hidden="1" customHeight="1"/>
    <row r="47" s="144" customFormat="1" ht="0" hidden="1" customHeight="1"/>
    <row r="48" s="144" customFormat="1" ht="0" hidden="1" customHeight="1"/>
    <row r="49" s="144" customFormat="1" ht="0" hidden="1" customHeight="1"/>
    <row r="50" s="144" customFormat="1" ht="0" hidden="1" customHeight="1"/>
    <row r="51" s="144" customFormat="1" ht="0" hidden="1" customHeight="1"/>
    <row r="52" s="144" customFormat="1" ht="0" hidden="1" customHeight="1"/>
    <row r="53" s="144" customFormat="1" ht="0" hidden="1" customHeight="1"/>
    <row r="54" s="144" customFormat="1" ht="0" hidden="1" customHeight="1"/>
    <row r="55" s="144" customFormat="1" ht="0" hidden="1" customHeight="1"/>
  </sheetData>
  <sheetProtection algorithmName="SHA-512" hashValue="hluASG3Pg/DXqnm9jtMJCUfHFuDTZ4r5xiy89raBK4x3PMuq+R9eVOmi+sH/itcoSZpzqIYA2Idvw4E0eXYo/g==" saltValue="Ro4cYPc0V1snJCy9VAckfw==" spinCount="100000" sheet="1" selectLockedCells="1"/>
  <dataConsolidate link="1"/>
  <mergeCells count="20">
    <mergeCell ref="B9:D9"/>
    <mergeCell ref="G9:J9"/>
    <mergeCell ref="B21:P21"/>
    <mergeCell ref="B15:P15"/>
    <mergeCell ref="B10:D10"/>
    <mergeCell ref="G10:J10"/>
    <mergeCell ref="M9:N12"/>
    <mergeCell ref="G11:J11"/>
    <mergeCell ref="M8:N8"/>
    <mergeCell ref="B3:C3"/>
    <mergeCell ref="B2:C2"/>
    <mergeCell ref="O1:P2"/>
    <mergeCell ref="O3:P3"/>
    <mergeCell ref="O4:P4"/>
    <mergeCell ref="K2:L2"/>
    <mergeCell ref="K4:M4"/>
    <mergeCell ref="G2:J2"/>
    <mergeCell ref="G4:J4"/>
    <mergeCell ref="B8:D8"/>
    <mergeCell ref="G8:J8"/>
  </mergeCells>
  <dataValidations count="4">
    <dataValidation allowBlank="1" showInputMessage="1" sqref="E8:E10" xr:uid="{00000000-0002-0000-0000-000000000000}"/>
    <dataValidation type="whole" errorStyle="information" allowBlank="1" prompt="Eingabe zwischen 5°C bis 20°C" sqref="K8" xr:uid="{00000000-0002-0000-0000-000002000000}">
      <formula1>5</formula1>
      <formula2>20</formula2>
    </dataValidation>
    <dataValidation type="whole" errorStyle="information" allowBlank="1" error="Eingabe außerhalb des gültigen Bereichs." prompt="Eingabe zwischen Vorlauftemp. und Raumtemp." sqref="K9" xr:uid="{00000000-0002-0000-0000-000003000000}">
      <formula1>K8</formula1>
      <formula2>K10</formula2>
    </dataValidation>
    <dataValidation type="whole" errorStyle="information" allowBlank="1" error="Eingabe außerhalb des gültigen Bereichs." prompt="20°C bis 35°C" sqref="K10:K11" xr:uid="{00000000-0002-0000-0000-000004000000}">
      <formula1>20</formula1>
      <formula2>35</formula2>
    </dataValidation>
  </dataValidations>
  <pageMargins left="0.25" right="0.25" top="0.75" bottom="0.75" header="0.3" footer="0.3"/>
  <pageSetup paperSize="9" scale="96" orientation="portrait" r:id="rId1"/>
  <headerFooter>
    <oddHeader xml:space="preserve">&amp;L
&amp;R
</oddHeader>
  </headerFooter>
  <ignoredErrors>
    <ignoredError sqref="B18:C20 B22:C26 B16:C16 B17:C17" unlockedFormula="1"/>
  </ignoredErrors>
  <drawing r:id="rId2"/>
  <legacyDrawing r:id="rId3"/>
  <controls>
    <mc:AlternateContent xmlns:mc="http://schemas.openxmlformats.org/markup-compatibility/2006">
      <mc:Choice Requires="x14">
        <control shapeId="2051" r:id="rId4" name="rbtnSI">
          <controlPr defaultSize="0" autoFill="0" autoLine="0" autoPict="0" r:id="rId5">
            <anchor moveWithCells="1">
              <from>
                <xdr:col>12</xdr:col>
                <xdr:colOff>38100</xdr:colOff>
                <xdr:row>8</xdr:row>
                <xdr:rowOff>38100</xdr:rowOff>
              </from>
              <to>
                <xdr:col>13</xdr:col>
                <xdr:colOff>273050</xdr:colOff>
                <xdr:row>9</xdr:row>
                <xdr:rowOff>152400</xdr:rowOff>
              </to>
            </anchor>
          </controlPr>
        </control>
      </mc:Choice>
      <mc:Fallback>
        <control shapeId="2051" r:id="rId4" name="rbtnSI"/>
      </mc:Fallback>
    </mc:AlternateContent>
    <mc:AlternateContent xmlns:mc="http://schemas.openxmlformats.org/markup-compatibility/2006">
      <mc:Choice Requires="x14">
        <control shapeId="2052" r:id="rId6" name="rbtnImperial">
          <controlPr defaultSize="0" autoFill="0" autoLine="0" autoPict="0" r:id="rId7">
            <anchor moveWithCells="1">
              <from>
                <xdr:col>12</xdr:col>
                <xdr:colOff>38100</xdr:colOff>
                <xdr:row>9</xdr:row>
                <xdr:rowOff>107950</xdr:rowOff>
              </from>
              <to>
                <xdr:col>13</xdr:col>
                <xdr:colOff>444500</xdr:colOff>
                <xdr:row>11</xdr:row>
                <xdr:rowOff>50800</xdr:rowOff>
              </to>
            </anchor>
          </controlPr>
        </control>
      </mc:Choice>
      <mc:Fallback>
        <control shapeId="2052" r:id="rId6" name="rbtnImperial"/>
      </mc:Fallback>
    </mc:AlternateContent>
    <mc:AlternateContent xmlns:mc="http://schemas.openxmlformats.org/markup-compatibility/2006">
      <mc:Choice Requires="x14">
        <control shapeId="2055" r:id="rId8" name="btnCopy">
          <controlPr defaultSize="0" autoLine="0" autoPict="0" r:id="rId9">
            <anchor moveWithCells="1">
              <from>
                <xdr:col>3</xdr:col>
                <xdr:colOff>152400</xdr:colOff>
                <xdr:row>0</xdr:row>
                <xdr:rowOff>171450</xdr:rowOff>
              </from>
              <to>
                <xdr:col>5</xdr:col>
                <xdr:colOff>374650</xdr:colOff>
                <xdr:row>3</xdr:row>
                <xdr:rowOff>133350</xdr:rowOff>
              </to>
            </anchor>
          </controlPr>
        </control>
      </mc:Choice>
      <mc:Fallback>
        <control shapeId="2055" r:id="rId8" name="btnCopy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cal!$X$2:$X$6</xm:f>
          </x14:formula1>
          <xm:sqref>K4:M4</xm:sqref>
        </x14:dataValidation>
        <x14:dataValidation type="list" allowBlank="1" showInputMessage="1" showErrorMessage="1" xr:uid="{00000000-0002-0000-0000-000006000000}">
          <x14:formula1>
            <xm:f>cal!$E$1:$L$1</xm:f>
          </x14:formula1>
          <xm:sqref>K2:L2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B1:T49"/>
  <sheetViews>
    <sheetView topLeftCell="A15" zoomScaleNormal="100" workbookViewId="0">
      <selection activeCell="B41" sqref="B41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11</v>
      </c>
      <c r="C3" s="22"/>
    </row>
    <row r="4" spans="2:20">
      <c r="B4" s="21"/>
      <c r="H4" s="281" t="s">
        <v>155</v>
      </c>
      <c r="I4" s="282">
        <v>0</v>
      </c>
      <c r="J4" s="282">
        <v>0</v>
      </c>
      <c r="K4" s="283">
        <v>0</v>
      </c>
    </row>
    <row r="5" spans="2:20">
      <c r="B5" s="28" t="s">
        <v>10</v>
      </c>
      <c r="H5" s="281" t="s">
        <v>154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152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159</v>
      </c>
    </row>
    <row r="8" spans="2:20">
      <c r="B8" s="134" t="s">
        <v>153</v>
      </c>
      <c r="C8" s="149"/>
      <c r="D8" s="149"/>
      <c r="E8" s="7"/>
      <c r="F8" s="7"/>
      <c r="G8" s="8" t="s">
        <v>156</v>
      </c>
      <c r="H8" s="8"/>
      <c r="I8" s="8"/>
      <c r="J8" s="7"/>
      <c r="K8" s="7"/>
      <c r="L8" s="7"/>
      <c r="M8" s="29"/>
      <c r="N8" s="13"/>
      <c r="O8" s="29"/>
      <c r="P8" s="13"/>
      <c r="Q8" s="1" t="s">
        <v>160</v>
      </c>
    </row>
    <row r="9" spans="2:20" ht="15" thickBot="1">
      <c r="B9" s="278" t="str">
        <f>"Voda na přívodu"</f>
        <v>Voda na přívodu</v>
      </c>
      <c r="C9" s="279"/>
      <c r="D9" s="280"/>
      <c r="E9" s="60">
        <f>cal!E9</f>
        <v>75</v>
      </c>
      <c r="F9" s="49"/>
      <c r="G9" s="265" t="str">
        <f>B9</f>
        <v>Voda na přívodu</v>
      </c>
      <c r="H9" s="265"/>
      <c r="I9" s="265"/>
      <c r="J9" s="265"/>
      <c r="K9" s="60">
        <f>cal!K9</f>
        <v>16</v>
      </c>
      <c r="L9" s="7"/>
      <c r="M9" s="270" t="s">
        <v>158</v>
      </c>
      <c r="N9" s="271"/>
      <c r="O9" s="7"/>
      <c r="P9" s="13"/>
      <c r="Q9" s="1" t="s">
        <v>161</v>
      </c>
    </row>
    <row r="10" spans="2:20" ht="15" thickTop="1">
      <c r="B10" s="278" t="str">
        <f>"Voda na zpátečce"</f>
        <v>Voda na zpátečce</v>
      </c>
      <c r="C10" s="279"/>
      <c r="D10" s="280"/>
      <c r="E10" s="60">
        <f>cal!E10</f>
        <v>65</v>
      </c>
      <c r="F10" s="49"/>
      <c r="G10" s="265" t="str">
        <f>B10</f>
        <v>Voda na zpátečce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78" t="s">
        <v>213</v>
      </c>
      <c r="C11" s="279"/>
      <c r="D11" s="280"/>
      <c r="E11" s="60">
        <f>cal!E11</f>
        <v>20</v>
      </c>
      <c r="F11" s="49"/>
      <c r="G11" s="265" t="str">
        <f>B11</f>
        <v>"Suchá" teplota vzduchu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56"/>
      <c r="C12" s="149"/>
      <c r="D12" s="149"/>
      <c r="E12" s="7"/>
      <c r="F12" s="7"/>
      <c r="G12" s="149" t="s">
        <v>157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176</v>
      </c>
      <c r="C15" s="19" t="s">
        <v>162</v>
      </c>
      <c r="D15" s="26" t="str">
        <f>CONCATENATE("Výkon Topení  ",ROUND(E9,0),"/",ROUND(E10,0),"/",ROUND(E11,0)," ["&amp;IF(UnitsNo=1,"W",IF(UnitsNo=2,"MBH"))&amp;"]")</f>
        <v>Výkon Topení  75/65/20 [W]</v>
      </c>
      <c r="E15" s="30" t="str">
        <f>"Průtok vody, topení ["&amp;IF(UnitsNo=1,"l/h",IF(UnitsNo=2,"GPM"))&amp;"]"</f>
        <v>Průtok vody, topení [l/h]</v>
      </c>
      <c r="F15" s="33" t="str">
        <f>"Tlaková ztráta ["&amp;IF(UnitsNo=1,"kPa",IF(UnitsNo=2,"inH2O"))&amp;"]"</f>
        <v>Tlaková ztráta [kPa]</v>
      </c>
      <c r="G15" s="19" t="str">
        <f>CONCATENATE("Výkon chlazení Znatelný  ",ROUND(K9,0),"/",,ROUND(K10,0),"/",,ROUND(K11,0)," ["&amp;IF(UnitsNo=1,"W",IF(UnitsNo=2,"Btu/h"))&amp;"]")</f>
        <v>Výkon chlazení Znatelný  16/18/27 [W]</v>
      </c>
      <c r="H15" s="19" t="str">
        <f>CONCATENATE("Výkon chlazení Celkový ",,ROUND(K9,0),"/",,ROUND(K10,0),"/",,ROUND(K11,0)," ["&amp;IF(UnitsNo=1,"W",IF(UnitsNo=2,"Btu/h"))&amp;"]")</f>
        <v>Výkon chlazení Celkový 16/18/27 [W]</v>
      </c>
      <c r="I15" s="19" t="str">
        <f>"Rychlost ["&amp;IF(UnitsNo=1,"u/min",IF(UnitsNo=2,"RPM"))&amp;"]"</f>
        <v>Rychlost [u/min]</v>
      </c>
      <c r="J15" s="20" t="str">
        <f>F15</f>
        <v>Tlaková ztráta [kPa]</v>
      </c>
      <c r="K15" s="26" t="s">
        <v>177</v>
      </c>
      <c r="L15" s="32" t="s">
        <v>178</v>
      </c>
      <c r="M15" s="19" t="s">
        <v>179</v>
      </c>
      <c r="N15" s="25" t="str">
        <f>"Průtok vzduchu ["&amp;IF(UnitsNo=1,"m³/h",IF(UnitsNo=2,"CFM"))&amp;"]"</f>
        <v>Průtok vzduchu [m³/h]</v>
      </c>
      <c r="O15" s="19" t="str">
        <f>"Výfuková teplota vzduchu top. ["&amp;IF(UnitsNo=1,"°C",IF(UnitsNo=2,"°F"))&amp;"]"</f>
        <v>Výfuková teplota vzduchu top. [°C]</v>
      </c>
      <c r="P15" s="19" t="str">
        <f>"Výfuková teplota vzduchu chlaz.  ["&amp;IF(UnitsNo=1,"°C",IF(UnitsNo=2,"°F"))&amp;"]"</f>
        <v>Výfuková teplota vzduchu chlaz.  [°C]</v>
      </c>
    </row>
    <row r="16" spans="2:20" ht="18" customHeight="1">
      <c r="B16" s="260" t="str">
        <f>cal!$X$1&amp;" "&amp;$T$16&amp;", "&amp;ROUND(cal!X22,1)&amp;IF(UnitsNo=1," cm",IF(UnitsNo=2," in"))&amp; ", "&amp;$T$17&amp;" "&amp;ROUND(cal!Z22,1)&amp;IF(UnitsNo=1," cm",IF(UnitsNo=2," in"))&amp;", "&amp;$T$18&amp;" "&amp;ROUND(cal!AB22,1)&amp;IF(UnitsNo=1," cm",IF(UnitsNo=2," in"))&amp;" (Typ "&amp;cal!W16&amp;""&amp;cal!AC22&amp;")"</f>
        <v>Luchtverhitter Výška, 41 cm, Šířka 41 cm, Délka 43 cm (Typ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152</v>
      </c>
      <c r="T16" s="144" t="s">
        <v>212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180</v>
      </c>
      <c r="T17" s="144" t="s">
        <v>214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181</v>
      </c>
      <c r="T18" s="144" t="s">
        <v>215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"&amp;cal!W16&amp;""&amp;cal!AC28&amp;")"</f>
        <v>Luchtverhitter Výška 41 cm Šířka 41 cm Délka 43 cm (Typ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Luchtverhitter Výška 0 cm Šířka 0 cm Délka 0 cm (Typ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Luchtverhitter Výška 0 cm Šířka 0 cm Délka 0 cm (Typ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144</v>
      </c>
      <c r="M40" s="48"/>
      <c r="N40" s="46" t="str">
        <f>cal!P46</f>
        <v>v2023-10-10</v>
      </c>
      <c r="O40" s="48"/>
      <c r="P40" s="46"/>
    </row>
    <row r="41" spans="2:16" ht="9.4" customHeight="1">
      <c r="B41" s="6" t="s">
        <v>235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B34:N34"/>
    <mergeCell ref="H4:K4"/>
    <mergeCell ref="H5:K5"/>
    <mergeCell ref="B9:D9"/>
    <mergeCell ref="G9:J9"/>
    <mergeCell ref="M9:N9"/>
    <mergeCell ref="B10:D10"/>
    <mergeCell ref="G10:J10"/>
    <mergeCell ref="B11:D11"/>
    <mergeCell ref="G11:J11"/>
    <mergeCell ref="B16:N16"/>
    <mergeCell ref="B22:N22"/>
    <mergeCell ref="B28:N28"/>
  </mergeCells>
  <dataValidations disablePrompts="1" count="7">
    <dataValidation type="whole" errorStyle="information" allowBlank="1" showErrorMessage="1" error="Eingabe außerhalb des gültigen Bereichs." prompt="20°C bis 35°C" sqref="K11" xr:uid="{00000000-0002-0000-09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9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9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9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9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9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900-000006000000}">
      <formula1>0.01</formula1>
      <formula2>1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81" t="s">
        <v>74</v>
      </c>
      <c r="I4" s="282">
        <v>0</v>
      </c>
      <c r="J4" s="282">
        <v>0</v>
      </c>
      <c r="K4" s="283">
        <v>0</v>
      </c>
    </row>
    <row r="5" spans="2:20">
      <c r="B5" s="28" t="s">
        <v>17</v>
      </c>
      <c r="H5" s="281" t="s">
        <v>75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196</v>
      </c>
    </row>
    <row r="8" spans="2:20">
      <c r="B8" s="134" t="s">
        <v>13</v>
      </c>
      <c r="C8" s="149"/>
      <c r="D8" s="149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197</v>
      </c>
    </row>
    <row r="9" spans="2:20" ht="15" thickBot="1">
      <c r="B9" s="278" t="s">
        <v>101</v>
      </c>
      <c r="C9" s="279"/>
      <c r="D9" s="279"/>
      <c r="E9" s="60">
        <f>cal!E9</f>
        <v>75</v>
      </c>
      <c r="F9" s="49"/>
      <c r="G9" s="265" t="str">
        <f>B9</f>
        <v>Supply water</v>
      </c>
      <c r="H9" s="265"/>
      <c r="I9" s="265"/>
      <c r="J9" s="265"/>
      <c r="K9" s="60">
        <f>cal!K9</f>
        <v>16</v>
      </c>
      <c r="L9" s="7"/>
      <c r="M9" s="270" t="s">
        <v>92</v>
      </c>
      <c r="N9" s="271"/>
      <c r="O9" s="7"/>
      <c r="P9" s="13"/>
      <c r="Q9" s="1" t="s">
        <v>198</v>
      </c>
    </row>
    <row r="10" spans="2:20" ht="15" thickTop="1">
      <c r="B10" s="278" t="s">
        <v>102</v>
      </c>
      <c r="C10" s="279"/>
      <c r="D10" s="279"/>
      <c r="E10" s="60">
        <f>cal!E10</f>
        <v>65</v>
      </c>
      <c r="F10" s="49"/>
      <c r="G10" s="265" t="str">
        <f>B10</f>
        <v>Return water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3" t="s">
        <v>103</v>
      </c>
      <c r="C11" s="184"/>
      <c r="D11" s="184"/>
      <c r="E11" s="60">
        <f>cal!E11</f>
        <v>20</v>
      </c>
      <c r="F11" s="49"/>
      <c r="G11" s="265" t="str">
        <f>B11</f>
        <v>Entering air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168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75/65/20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41</v>
      </c>
      <c r="L15" s="32" t="s">
        <v>42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Luchtverhitter height 41 cm width 41 cm length 43 cm (Type 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105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82</v>
      </c>
      <c r="T17" s="144" t="s">
        <v>106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83</v>
      </c>
      <c r="T18" s="144" t="s">
        <v>107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Luchtverhitter height 41 cm width 41 cm length 43 cm (Type 2)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height 0 cm width 0 cm length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height 0 cm width 0 cm length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46</v>
      </c>
      <c r="M40" s="48"/>
      <c r="N40" s="46" t="str">
        <f>cal!P46</f>
        <v>v2023-10-10</v>
      </c>
      <c r="O40" s="48"/>
      <c r="P40" s="46"/>
    </row>
    <row r="41" spans="2:16" ht="9.4" customHeight="1">
      <c r="B41" s="6" t="s">
        <v>47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 xr:uid="{00000000-0002-0000-0A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A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A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A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A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A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A00-000006000000}">
      <formula1>20</formula1>
      <formula2>35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81" t="s">
        <v>74</v>
      </c>
      <c r="I4" s="282">
        <v>0</v>
      </c>
      <c r="J4" s="282">
        <v>0</v>
      </c>
      <c r="K4" s="283">
        <v>0</v>
      </c>
    </row>
    <row r="5" spans="2:20">
      <c r="B5" s="28" t="s">
        <v>17</v>
      </c>
      <c r="H5" s="281" t="s">
        <v>75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196</v>
      </c>
    </row>
    <row r="8" spans="2:20">
      <c r="B8" s="134" t="s">
        <v>13</v>
      </c>
      <c r="C8" s="149"/>
      <c r="D8" s="149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197</v>
      </c>
    </row>
    <row r="9" spans="2:20" ht="15" thickBot="1">
      <c r="B9" s="278" t="s">
        <v>101</v>
      </c>
      <c r="C9" s="279"/>
      <c r="D9" s="279"/>
      <c r="E9" s="60">
        <f>cal!E9</f>
        <v>75</v>
      </c>
      <c r="F9" s="49"/>
      <c r="G9" s="265" t="str">
        <f>B9</f>
        <v>Supply water</v>
      </c>
      <c r="H9" s="265"/>
      <c r="I9" s="265"/>
      <c r="J9" s="265"/>
      <c r="K9" s="60">
        <f>cal!K9</f>
        <v>16</v>
      </c>
      <c r="L9" s="7"/>
      <c r="M9" s="270" t="s">
        <v>92</v>
      </c>
      <c r="N9" s="271"/>
      <c r="O9" s="7"/>
      <c r="P9" s="13"/>
      <c r="Q9" s="1" t="s">
        <v>198</v>
      </c>
    </row>
    <row r="10" spans="2:20" ht="15" thickTop="1">
      <c r="B10" s="278" t="s">
        <v>102</v>
      </c>
      <c r="C10" s="279"/>
      <c r="D10" s="279"/>
      <c r="E10" s="60">
        <f>cal!E10</f>
        <v>65</v>
      </c>
      <c r="F10" s="49"/>
      <c r="G10" s="265" t="str">
        <f>B10</f>
        <v>Return water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3" t="s">
        <v>103</v>
      </c>
      <c r="C11" s="184"/>
      <c r="D11" s="184"/>
      <c r="E11" s="60">
        <f>cal!E11</f>
        <v>20</v>
      </c>
      <c r="F11" s="49"/>
      <c r="G11" s="265" t="str">
        <f>B11</f>
        <v>Entering air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168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75/65/20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41</v>
      </c>
      <c r="L15" s="32" t="s">
        <v>42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Luchtverhitter height 41 cm width 41 cm length 43 cm (Type 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105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82</v>
      </c>
      <c r="T17" s="144" t="s">
        <v>106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83</v>
      </c>
      <c r="T18" s="144" t="s">
        <v>107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Luchtverhitter height 41 cm width 41 cm length 43 cm (Type 2)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height 0 cm width 0 cm length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height 0 cm width 0 cm length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46</v>
      </c>
      <c r="M40" s="48"/>
      <c r="N40" s="46" t="str">
        <f>cal!P46</f>
        <v>v2023-10-10</v>
      </c>
      <c r="O40" s="48"/>
      <c r="P40" s="46"/>
    </row>
    <row r="41" spans="2:16" ht="9.4" customHeight="1">
      <c r="B41" s="6" t="s">
        <v>47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whole" errorStyle="information" allowBlank="1" showErrorMessage="1" error="Eingabe außerhalb des gültigen Bereichs." prompt="20°C bis 35°C" sqref="K11" xr:uid="{00000000-0002-0000-0B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B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B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B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B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B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B00-000006000000}">
      <formula1>0.01</formula1>
      <formula2>1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B1:T49"/>
  <sheetViews>
    <sheetView workbookViewId="0">
      <selection activeCell="K2" sqref="K2:L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81" t="s">
        <v>74</v>
      </c>
      <c r="I4" s="282">
        <v>0</v>
      </c>
      <c r="J4" s="282">
        <v>0</v>
      </c>
      <c r="K4" s="283">
        <v>0</v>
      </c>
    </row>
    <row r="5" spans="2:20">
      <c r="B5" s="28" t="s">
        <v>17</v>
      </c>
      <c r="H5" s="281" t="s">
        <v>75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196</v>
      </c>
    </row>
    <row r="8" spans="2:20">
      <c r="B8" s="134" t="s">
        <v>13</v>
      </c>
      <c r="C8" s="149"/>
      <c r="D8" s="149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197</v>
      </c>
    </row>
    <row r="9" spans="2:20" ht="15" thickBot="1">
      <c r="B9" s="278" t="s">
        <v>101</v>
      </c>
      <c r="C9" s="279"/>
      <c r="D9" s="279"/>
      <c r="E9" s="60">
        <f>cal!E9</f>
        <v>75</v>
      </c>
      <c r="F9" s="49"/>
      <c r="G9" s="265" t="str">
        <f>B9</f>
        <v>Supply water</v>
      </c>
      <c r="H9" s="265"/>
      <c r="I9" s="265"/>
      <c r="J9" s="265"/>
      <c r="K9" s="60">
        <f>cal!K9</f>
        <v>16</v>
      </c>
      <c r="L9" s="7"/>
      <c r="M9" s="270" t="s">
        <v>92</v>
      </c>
      <c r="N9" s="271"/>
      <c r="O9" s="7"/>
      <c r="P9" s="13"/>
      <c r="Q9" s="1" t="s">
        <v>198</v>
      </c>
    </row>
    <row r="10" spans="2:20" ht="15" thickTop="1">
      <c r="B10" s="278" t="s">
        <v>102</v>
      </c>
      <c r="C10" s="279"/>
      <c r="D10" s="279"/>
      <c r="E10" s="60">
        <f>cal!E10</f>
        <v>65</v>
      </c>
      <c r="F10" s="49"/>
      <c r="G10" s="265" t="str">
        <f>B10</f>
        <v>Return water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3" t="s">
        <v>103</v>
      </c>
      <c r="C11" s="184"/>
      <c r="D11" s="184"/>
      <c r="E11" s="60">
        <f>cal!E11</f>
        <v>20</v>
      </c>
      <c r="F11" s="49"/>
      <c r="G11" s="265" t="str">
        <f>B11</f>
        <v>Entering air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168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75/65/20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41</v>
      </c>
      <c r="L15" s="32" t="s">
        <v>42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Luchtverhitter height 41 cm width 41 cm length 43 cm (Type 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105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82</v>
      </c>
      <c r="T17" s="144" t="s">
        <v>106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83</v>
      </c>
      <c r="T18" s="144" t="s">
        <v>107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Luchtverhitter height 41 cm width 41 cm length 43 cm (Type 2)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height 0 cm width 0 cm length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height 0 cm width 0 cm length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46</v>
      </c>
      <c r="M40" s="48"/>
      <c r="N40" s="46" t="str">
        <f>cal!P46</f>
        <v>v2023-10-10</v>
      </c>
      <c r="O40" s="48"/>
      <c r="P40" s="46"/>
    </row>
    <row r="41" spans="2:16" ht="9.4" customHeight="1">
      <c r="B41" s="6" t="s">
        <v>47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 xr:uid="{00000000-0002-0000-0C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C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C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C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C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C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C00-000006000000}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CW56"/>
  <sheetViews>
    <sheetView topLeftCell="A7" zoomScaleNormal="100" workbookViewId="0">
      <selection activeCell="C22" sqref="C22:P22"/>
    </sheetView>
  </sheetViews>
  <sheetFormatPr defaultColWidth="0.1796875" defaultRowHeight="0" customHeight="1" zeroHeight="1"/>
  <cols>
    <col min="1" max="1" width="2" style="50" customWidth="1"/>
    <col min="2" max="2" width="7" style="50" customWidth="1"/>
    <col min="3" max="3" width="6.1796875" style="50" customWidth="1"/>
    <col min="4" max="4" width="7.26953125" style="50" customWidth="1"/>
    <col min="5" max="5" width="7.1796875" style="50" customWidth="1"/>
    <col min="6" max="6" width="7.54296875" style="50" customWidth="1"/>
    <col min="7" max="7" width="9.453125" style="50" customWidth="1"/>
    <col min="8" max="8" width="8.54296875" style="50" customWidth="1"/>
    <col min="9" max="9" width="7.7265625" style="50" customWidth="1"/>
    <col min="10" max="10" width="7" style="50" customWidth="1"/>
    <col min="11" max="11" width="7.81640625" style="50" customWidth="1"/>
    <col min="12" max="12" width="8.1796875" style="50" customWidth="1"/>
    <col min="13" max="13" width="7.7265625" style="50" customWidth="1"/>
    <col min="14" max="16" width="7" style="50" customWidth="1"/>
    <col min="17" max="17" width="2" style="50" customWidth="1"/>
    <col min="18" max="18" width="1.7265625" style="50" customWidth="1"/>
    <col min="19" max="19" width="7.7265625" style="50" customWidth="1"/>
    <col min="20" max="22" width="1.7265625" style="50" customWidth="1"/>
    <col min="23" max="23" width="5.54296875" style="50" customWidth="1"/>
    <col min="24" max="24" width="11.26953125" style="50" bestFit="1" customWidth="1"/>
    <col min="25" max="25" width="7.7265625" style="50" bestFit="1" customWidth="1"/>
    <col min="26" max="26" width="6.26953125" style="50" customWidth="1"/>
    <col min="27" max="27" width="6" style="50" customWidth="1"/>
    <col min="28" max="28" width="5.54296875" style="50" customWidth="1"/>
    <col min="29" max="29" width="16.1796875" style="50" bestFit="1" customWidth="1"/>
    <col min="30" max="31" width="4.7265625" style="50" customWidth="1"/>
    <col min="32" max="32" width="5.81640625" style="50" customWidth="1"/>
    <col min="33" max="72" width="4.7265625" style="50" customWidth="1"/>
    <col min="73" max="101" width="4.7265625" style="50" hidden="1" customWidth="1"/>
    <col min="102" max="117" width="0" style="50" hidden="1" customWidth="1"/>
    <col min="118" max="16384" width="0.1796875" style="50"/>
  </cols>
  <sheetData>
    <row r="1" spans="2:100" ht="15" customHeight="1">
      <c r="E1" s="50" t="s">
        <v>61</v>
      </c>
      <c r="F1" s="50" t="s">
        <v>60</v>
      </c>
      <c r="G1" s="50" t="s">
        <v>62</v>
      </c>
      <c r="H1" s="50" t="s">
        <v>59</v>
      </c>
      <c r="I1" s="50" t="s">
        <v>58</v>
      </c>
      <c r="J1" s="50" t="s">
        <v>90</v>
      </c>
      <c r="K1" s="50" t="s">
        <v>139</v>
      </c>
      <c r="L1" s="1" t="s">
        <v>140</v>
      </c>
      <c r="M1" s="1" t="s">
        <v>141</v>
      </c>
      <c r="N1" s="1" t="s">
        <v>142</v>
      </c>
      <c r="O1" s="1" t="s">
        <v>143</v>
      </c>
      <c r="X1" s="50" t="s">
        <v>216</v>
      </c>
      <c r="AM1" s="50">
        <f>Tv_cool</f>
        <v>16</v>
      </c>
      <c r="AQ1" s="223">
        <f>W12</f>
        <v>0.5</v>
      </c>
    </row>
    <row r="2" spans="2:100" ht="15" customHeight="1">
      <c r="B2" s="21"/>
      <c r="C2" s="1"/>
      <c r="D2" s="1"/>
      <c r="E2" s="1" t="s">
        <v>233</v>
      </c>
      <c r="F2" s="1" t="s">
        <v>232</v>
      </c>
      <c r="G2" s="1" t="s">
        <v>231</v>
      </c>
      <c r="H2" s="1" t="s">
        <v>230</v>
      </c>
      <c r="I2" s="1" t="s">
        <v>229</v>
      </c>
      <c r="J2" s="1" t="s">
        <v>228</v>
      </c>
      <c r="K2" s="1" t="s">
        <v>227</v>
      </c>
      <c r="L2" s="1" t="s">
        <v>226</v>
      </c>
      <c r="M2" s="1"/>
      <c r="N2" s="1"/>
      <c r="O2" s="1"/>
      <c r="P2" s="1"/>
      <c r="Q2" s="1"/>
      <c r="W2" s="56"/>
      <c r="X2" s="56" t="s">
        <v>222</v>
      </c>
      <c r="AM2" s="50">
        <f>Tr_cool</f>
        <v>18.222222222222221</v>
      </c>
    </row>
    <row r="3" spans="2:100" ht="14.5">
      <c r="B3" s="23" t="str">
        <f>IF($S$7=1,NL!B3,IF(cal!$S$7=2,EN!B3,IF(cal!$S$7=3,DE!B3,IF(cal!$S$7=4,FR!B3,IF(cal!$S$7=5,NR!B3,IF(cal!$S$7=6,SP!B3,IF(cal!$S$7=7,SW!B3,IF(cal!$S$7=8,TS!B3,IF(cal!$S$7=9,ExtraTaal1!B3,IF(cal!$S$7=10,ExtraTaal2!B3,IF(cal!$S$7=11,ExtraTaal3!B3,)))))))))))</f>
        <v>Formulary</v>
      </c>
      <c r="C3" s="22"/>
      <c r="D3" s="1"/>
      <c r="E3" s="1"/>
      <c r="F3" s="1"/>
      <c r="G3" s="263"/>
      <c r="H3" s="263"/>
      <c r="I3" s="263"/>
      <c r="J3" s="263"/>
      <c r="K3" s="1"/>
      <c r="L3" s="221"/>
      <c r="M3" s="1"/>
      <c r="N3" s="1"/>
      <c r="O3" s="1"/>
      <c r="P3" s="1"/>
      <c r="Q3" s="1"/>
      <c r="W3" s="56"/>
      <c r="X3" s="56" t="s">
        <v>223</v>
      </c>
      <c r="Z3" s="1" t="str">
        <f>IF($S$7=1,NL!R16,IF(cal!$S$7=2,EN!R16,IF(cal!$S$7=3,DE!R16,IF(cal!$S$7=4,FR!R16,IF(cal!$S$7=5,NR!R16,IF(cal!$S$7=6,SP!R16,IF(cal!$S$7=7,SW!R16,IF(cal!$S$7=8,TS!R16,IF(cal!$S$7=9,ExtraTaal1!R16,IF(cal!$S$7=10,ExtraTaal2!R16,IF(cal!$S$7=11,ExtraTaal3!R16,)))))))))))</f>
        <v>Temp.</v>
      </c>
      <c r="AA3" s="1" t="str">
        <f>IF($S$7=1,NL!Q7,IF(cal!$S$7=2,EN!Q7,IF(cal!$S$7=3,DE!Q7,IF(cal!$S$7=4,FR!Q7,IF(cal!$S$7=5,NR!Q7,IF(cal!$S$7=6,SP!Q7,IF(cal!$S$7=7,SW!Q7,IF(cal!$S$7=8,TS!Q7,IF(cal!$S$7=9,ExtraTaal1!Q7,IF(cal!$S$7=10,ExtraTaal2!Q7,IF(cal!$S$7=11,ExtraTaal3!Q7,)))))))))))</f>
        <v>Copy all data</v>
      </c>
      <c r="AM3" s="50">
        <f>Tl_cool</f>
        <v>27</v>
      </c>
    </row>
    <row r="4" spans="2:100" ht="14.5"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205"/>
      <c r="N4" s="1"/>
      <c r="O4" s="204"/>
      <c r="P4" s="1"/>
      <c r="Q4" s="1"/>
      <c r="W4" s="64">
        <v>1</v>
      </c>
      <c r="X4" s="56" t="s">
        <v>242</v>
      </c>
      <c r="Z4" s="1" t="str">
        <f>IF($S$7=1,NL!R17,IF(cal!$S$7=2,EN!R17,IF(cal!$S$7=3,DE!R17,IF(cal!$S$7=4,FR!R17,IF(cal!$S$7=5,NR!R17,IF(cal!$S$7=6,SP!R17,IF(cal!$S$7=7,SW!R17,IF(cal!$S$7=8,TS!R17,IF(cal!$S$7=9,ExtraTaal1!R17,IF(cal!$S$7=10,ExtraTaal2!R17,IF(cal!$S$7=11,ExtraTaal3!R17,)))))))))))</f>
        <v>heating!</v>
      </c>
      <c r="AA4" s="1" t="str">
        <f>IF($S$7=1,NL!Q8,IF(cal!$S$7=2,EN!Q8,IF(cal!$S$7=3,DE!Q8,IF(cal!$S$7=4,FR!Q8,IF(cal!$S$7=5,NR!Q8,IF(cal!$S$7=6,SP!Q8,IF(cal!$S$7=7,SW!Q8,IF(cal!$S$7=8,TS!Q8,IF(cal!$S$7=9,ExtraTaal1!Q8,IF(cal!$S$7=10,ExtraTaal2!Q8,IF(cal!$S$7=11,ExtraTaal3!Q8,)))))))))))</f>
        <v>SI-units</v>
      </c>
    </row>
    <row r="5" spans="2:100" ht="14.5">
      <c r="B5" s="28" t="str">
        <f>IF($S$7=1,NL!B5,IF(cal!$S$7=2,EN!B5,IF(cal!$S$7=3,DE!B5,IF(cal!$S$7=4,FR!B5,IF(cal!$S$7=5,NR!B5,IF(cal!$S$7=6,SP!B5,IF(cal!$S$7=7,SW!B5,IF(cal!$S$7=8,TS!B5,IF(cal!$S$7=9,ExtraTaal1!B5,IF(cal!$S$7=10,ExtraTaal2!B5,IF(cal!$S$7=11,ExtraTaal3!B5,)))))))))))</f>
        <v>Conditions</v>
      </c>
      <c r="C5" s="1"/>
      <c r="D5" s="1"/>
      <c r="E5" s="1"/>
      <c r="F5" s="1"/>
      <c r="G5" s="263"/>
      <c r="H5" s="263"/>
      <c r="I5" s="263"/>
      <c r="J5" s="263"/>
      <c r="K5" s="1"/>
      <c r="L5" s="1"/>
      <c r="M5" s="1"/>
      <c r="N5" s="1"/>
      <c r="O5" s="1"/>
      <c r="P5" s="1"/>
      <c r="Q5" s="1"/>
      <c r="W5" s="56"/>
      <c r="X5" s="56" t="s">
        <v>224</v>
      </c>
      <c r="Z5" s="1" t="str">
        <f>IF($S$7=1,NL!R18,IF(cal!$S$7=2,EN!R18,IF(cal!$S$7=3,DE!R18,IF(cal!$S$7=4,FR!R18,IF(cal!$S$7=5,NR!R18,IF(cal!$S$7=6,SP!R18,IF(cal!$S$7=7,SW!R18,IF(cal!$S$7=8,TS!R18,IF(cal!$S$7=9,ExtraTaal1!R18,IF(cal!$S$7=10,ExtraTaal2!R18,IF(cal!$S$7=11,ExtraTaal3!R18,)))))))))))</f>
        <v>cooling!</v>
      </c>
      <c r="AA5" s="1" t="str">
        <f>IF($S$7=1,NL!Q9,IF(cal!$S$7=2,EN!Q9,IF(cal!$S$7=3,DE!Q9,IF(cal!$S$7=4,FR!Q9,IF(cal!$S$7=5,NR!Q9,IF(cal!$S$7=6,SP!Q9,IF(cal!$S$7=7,SW!Q9,IF(cal!$S$7=8,TS!Q9,IF(cal!$S$7=9,ExtraTaal1!Q9,IF(cal!$S$7=10,ExtraTaal2!Q9,IF(cal!$S$7=11,ExtraTaal3!Q9,)))))))))))</f>
        <v>Imperial-units</v>
      </c>
    </row>
    <row r="6" spans="2:100" ht="6" customHeight="1" thickBo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22"/>
      <c r="P6" s="123"/>
      <c r="Q6" s="1"/>
      <c r="W6" s="56"/>
      <c r="X6" s="56" t="s">
        <v>225</v>
      </c>
    </row>
    <row r="7" spans="2:100" ht="15" thickBot="1">
      <c r="B7" s="12" t="str">
        <f>IF($S$7=1,NL!B7,IF(cal!$S$7=2,EN!B7,IF(cal!$S$7=3,DE!B7,IF(cal!$S$7=4,FR!B7,IF(cal!$S$7=5,NR!B7,IF(cal!$S$7=6,SP!B7,IF(cal!$S$7=7,SW!B7,IF(cal!$S$7=8,TS!B7,IF(cal!$S$7=9,ExtraTaal1!B7,IF(cal!$S$7=10,ExtraTaal2!B7,IF(cal!$S$7=11,ExtraTaal3!B7,)))))))))))</f>
        <v>Temperatures</v>
      </c>
      <c r="C7" s="7"/>
      <c r="D7" s="7"/>
      <c r="E7" s="7"/>
      <c r="F7" s="7"/>
      <c r="G7" s="7"/>
      <c r="H7" s="7"/>
      <c r="I7" s="7"/>
      <c r="J7" s="7"/>
      <c r="K7" s="7"/>
      <c r="L7" s="7"/>
      <c r="M7" s="266" t="str">
        <f>IF($S$7=8,"Výška umístění","h_atm")</f>
        <v>h_atm</v>
      </c>
      <c r="N7" s="267"/>
      <c r="O7" s="120"/>
      <c r="P7" s="124"/>
      <c r="Q7" s="1"/>
      <c r="S7" s="182">
        <f>IF(Luchtverhitter!$K$2=cal!$E$1,1,IF(Luchtverhitter!$K$2=cal!$F$1,2,IF(Luchtverhitter!$K$2=cal!G1,3,IF(Luchtverhitter!$K$2=cal!H1,4,IF(Luchtverhitter!$K$2=cal!I1,5,IF(Luchtverhitter!$K$2=cal!J1,6,IF(Luchtverhitter!$K$2=cal!K1,7,IF(Luchtverhitter!$K$2=cal!L1,8,IF(Luchtverhitter!$K$2=cal!M1,9,IF(Luchtverhitter!$K$2=cal!N1,10,IF(Luchtverhitter!$K$2=cal!O1,11,)))))))))))</f>
        <v>2</v>
      </c>
      <c r="W7" s="56"/>
      <c r="X7" s="56"/>
    </row>
    <row r="8" spans="2:100" ht="15" thickBot="1">
      <c r="B8" s="12" t="str">
        <f>IF($S$7=1,NL!B8,IF(cal!$S$7=2,EN!B8,IF(cal!$S$7=3,DE!B8,IF(cal!$S$7=4,FR!B8,IF(cal!$S$7=5,NR!B8,IF(cal!$S$7=6,SP!B8,IF(cal!$S$7=7,SW!B8,IF(cal!$S$7=8,TS!B8,IF(cal!$S$7=9,ExtraTaal1!B8,IF(cal!$S$7=10,ExtraTaal2!B8,IF(cal!$S$7=11,ExtraTaal3!B8,)))))))))))</f>
        <v>Heating:</v>
      </c>
      <c r="C8" s="7"/>
      <c r="D8" s="7"/>
      <c r="E8" s="7"/>
      <c r="F8" s="7"/>
      <c r="G8" s="8" t="str">
        <f>IF($S$7=1,NL!G8,IF(cal!$S$7=2,EN!G8,IF(cal!$S$7=3,DE!G8,IF(cal!$S$7=4,FR!G8,IF(cal!$S$7=5,NR!G8,IF(cal!$S$7=6,SP!G8,IF(cal!$S$7=7,SW!G8,IF(cal!$S$7=8,TS!G8,IF(cal!$S$7=9,ExtraTaal1!G8,IF(cal!$S$7=10,ExtraTaal2!G8,IF(cal!$S$7=11,ExtraTaal3!G8,)))))))))))</f>
        <v>Cooling:</v>
      </c>
      <c r="H8" s="8"/>
      <c r="I8" s="8"/>
      <c r="J8" s="7"/>
      <c r="K8" s="7"/>
      <c r="L8" s="7"/>
      <c r="M8" s="268">
        <f>Luchtverhitter!M7</f>
        <v>0</v>
      </c>
      <c r="N8" s="269">
        <f>Luchtverhitter!N7</f>
        <v>0</v>
      </c>
      <c r="O8" s="121"/>
      <c r="P8" s="125"/>
      <c r="Q8" s="1"/>
      <c r="S8" s="53" t="s">
        <v>28</v>
      </c>
      <c r="W8" s="53" t="s">
        <v>28</v>
      </c>
      <c r="X8" s="56"/>
    </row>
    <row r="9" spans="2:100" ht="15" thickBot="1">
      <c r="B9" s="264" t="str">
        <f>IF($S$7=1,NL!B9,IF(cal!$S$7=2,EN!B9,IF(cal!$S$7=3,DE!B9,IF(cal!$S$7=4,FR!B9,IF(cal!$S$7=5,NR!B9,IF(cal!$S$7=6,SP!B9,IF(cal!$S$7=7,SW!B9,IF(cal!$S$7=8,TS!B9,IF(cal!$S$7=9,ExtraTaal1!B9,IF(cal!$S$7=10,ExtraTaal2!B9,IF(cal!$S$7=11,ExtraTaal3!B9,)))))))))))</f>
        <v>Supply water</v>
      </c>
      <c r="C9" s="265">
        <f>IF($S$7=1,NL!C9,IF(cal!$S$7=2,EN!C9,IF(cal!$S$7=3,DE!C9,IF(cal!$S$7=4,FR!C9,IF(cal!$S$7=5,NR!C9,IF(cal!$S$7=6,SP!C9,IF(cal!$S$7=7,SW!C9,IF(cal!$S$7=8,TS!C9,IF(cal!$S$7=9,ExtraTaal1!C9,IF(cal!$S$7=10,ExtraTaal2!C9,IF(cal!$S$7=11,ExtraTaal3!C9,)))))))))))</f>
        <v>0</v>
      </c>
      <c r="D9" s="265">
        <f>IF($S$7=1,NL!D9,IF(cal!$S$7=2,EN!D9,IF(cal!$S$7=3,DE!D9,IF(cal!$S$7=4,FR!D9,IF(cal!$S$7=5,NR!D9,IF(cal!$S$7=6,SP!D9,IF(cal!$S$7=7,SW!D9,IF(cal!$S$7=8,TS!D9,IF(cal!$S$7=9,ExtraTaal1!D9,IF(cal!$S$7=10,ExtraTaal2!D9,IF(cal!$S$7=11,ExtraTaal3!D9,)))))))))))</f>
        <v>0</v>
      </c>
      <c r="E9" s="59">
        <f>Luchtverhitter!E8</f>
        <v>75</v>
      </c>
      <c r="F9" s="49" t="str">
        <f>IF($W$4=1,"°C",IF($W$4=2,"°F",))</f>
        <v>°C</v>
      </c>
      <c r="G9" s="265" t="str">
        <f>B9</f>
        <v>Supply water</v>
      </c>
      <c r="H9" s="265">
        <f>IF($S$7=1,NL!H9,IF(cal!$S$7=2,EN!H9,IF(cal!$S$7=3,DE!H9,IF(cal!$S$7=4,FR!H9,))))</f>
        <v>0</v>
      </c>
      <c r="I9" s="265">
        <f>IF($S$7=1,NL!I9,IF(cal!$S$7=2,EN!I9,IF(cal!$S$7=3,DE!I9,IF(cal!$S$7=4,FR!I9,))))</f>
        <v>0</v>
      </c>
      <c r="J9" s="265">
        <f>IF($S$7=1,NL!J9,IF(cal!$S$7=2,EN!J9,IF(cal!$S$7=3,DE!J9,IF(cal!$S$7=4,FR!J9,))))</f>
        <v>0</v>
      </c>
      <c r="K9" s="59">
        <f>Luchtverhitter!K8</f>
        <v>16</v>
      </c>
      <c r="L9" s="7" t="str">
        <f>F9</f>
        <v>°C</v>
      </c>
      <c r="M9" s="270" t="str">
        <f>IF($S$7=1,NL!M9,IF(cal!$S$7=2,EN!M9,IF(cal!$S$7=3,DE!M9,IF(cal!$S$7=4,FR!M9,IF(cal!$S$7=5,NR!M9,IF(cal!$S$7=6,SP!M9,))))))</f>
        <v>Unit conversion</v>
      </c>
      <c r="N9" s="271">
        <f>IF($S$7=1,NL!N9,IF(cal!$S$7=2,EN!N9,IF(cal!$S$7=3,DE!N9,IF(cal!$S$7=4,FR!N9,IF(cal!$S$7=5,#REF!,)))))</f>
        <v>0</v>
      </c>
      <c r="O9" s="7"/>
      <c r="P9" s="126"/>
      <c r="Q9" s="1"/>
      <c r="S9" s="65">
        <f>IF($W$4=1,E9,IF($W$4=2,(E9-32)/1.8))</f>
        <v>75</v>
      </c>
      <c r="W9" s="65">
        <f>IF($W$4=1,K9,IF($W$4=2,(K9-32)/1.8))</f>
        <v>16</v>
      </c>
      <c r="X9" s="56"/>
    </row>
    <row r="10" spans="2:100" ht="15" thickTop="1">
      <c r="B10" s="264" t="str">
        <f>IF($S$7=1,NL!B10,IF(cal!$S$7=2,EN!B10,IF(cal!$S$7=3,DE!B10,IF(cal!$S$7=4,FR!B10,IF(cal!$S$7=5,NR!B10,IF(cal!$S$7=6,SP!B10,IF(cal!$S$7=7,SW!B10,IF(cal!$S$7=8,TS!B10,IF(cal!$S$7=9,ExtraTaal1!B10,IF(cal!$S$7=10,ExtraTaal2!B10,IF(cal!$S$7=11,ExtraTaal3!B10,)))))))))))</f>
        <v>Return water</v>
      </c>
      <c r="C10" s="265">
        <f>IF($S$7=1,NL!C10,IF(cal!$S$7=2,EN!C10,IF(cal!$S$7=3,DE!C10,IF(cal!$S$7=4,FR!C10,IF(cal!$S$7=5,NR!C10,IF(cal!$S$7=6,SP!C10,IF(cal!$S$7=7,SW!C10,IF(cal!$S$7=8,TS!C10,IF(cal!$S$7=9,ExtraTaal1!C10,IF(cal!$S$7=10,ExtraTaal2!C10,IF(cal!$S$7=11,ExtraTaal3!C10,)))))))))))</f>
        <v>0</v>
      </c>
      <c r="D10" s="265">
        <f>IF($S$7=1,NL!D10,IF(cal!$S$7=2,EN!D10,IF(cal!$S$7=3,DE!D10,IF(cal!$S$7=4,FR!D10,IF(cal!$S$7=5,NR!D10,IF(cal!$S$7=6,SP!D10,IF(cal!$S$7=7,SW!D10,IF(cal!$S$7=8,TS!D10,IF(cal!$S$7=9,ExtraTaal1!D10,IF(cal!$S$7=10,ExtraTaal2!D10,IF(cal!$S$7=11,ExtraTaal3!D10,)))))))))))</f>
        <v>0</v>
      </c>
      <c r="E10" s="59">
        <f>Luchtverhitter!E9</f>
        <v>65</v>
      </c>
      <c r="F10" s="49" t="str">
        <f>F9</f>
        <v>°C</v>
      </c>
      <c r="G10" s="265" t="str">
        <f>B10</f>
        <v>Return water</v>
      </c>
      <c r="H10" s="265">
        <f>IF($S$7=1,NL!H10,IF(cal!$S$7=2,EN!H10,IF(cal!$S$7=3,DE!H10,IF(cal!$S$7=4,FR!H10,))))</f>
        <v>0</v>
      </c>
      <c r="I10" s="265">
        <f>IF($S$7=1,NL!I10,IF(cal!$S$7=2,EN!I10,IF(cal!$S$7=3,DE!I10,IF(cal!$S$7=4,FR!I10,))))</f>
        <v>0</v>
      </c>
      <c r="J10" s="265">
        <f>IF($S$7=1,NL!J10,IF(cal!$S$7=2,EN!J10,IF(cal!$S$7=3,DE!J10,IF(cal!$S$7=4,FR!J10,))))</f>
        <v>0</v>
      </c>
      <c r="K10" s="59">
        <f>Luchtverhitter!K9</f>
        <v>18.222222222222221</v>
      </c>
      <c r="L10" s="7" t="str">
        <f>F9</f>
        <v>°C</v>
      </c>
      <c r="M10" s="67"/>
      <c r="N10" s="7"/>
      <c r="O10" s="7"/>
      <c r="P10" s="126"/>
      <c r="Q10" s="1"/>
      <c r="S10" s="65">
        <f>IF($W$4=1,E10,IF($W$4=2,(E10-32)/1.8))</f>
        <v>65</v>
      </c>
      <c r="W10" s="65">
        <f>IF($W$4=1,K10,IF($W$4=2,(K10-32)/1.8))</f>
        <v>18.222222222222221</v>
      </c>
      <c r="Y10" s="53" t="s">
        <v>55</v>
      </c>
      <c r="Z10" s="53" t="s">
        <v>56</v>
      </c>
      <c r="AA10" s="53" t="s">
        <v>57</v>
      </c>
      <c r="AB10" s="53" t="s">
        <v>217</v>
      </c>
      <c r="AC10" s="53" t="s">
        <v>218</v>
      </c>
      <c r="AD10" s="50" t="s">
        <v>220</v>
      </c>
      <c r="AI10" s="50" t="s">
        <v>243</v>
      </c>
    </row>
    <row r="11" spans="2:100" ht="14.5">
      <c r="B11" s="264" t="str">
        <f>IF($S$7=1,NL!B11,IF(cal!$S$7=2,EN!B11,IF(cal!$S$7=3,DE!B11,IF(cal!$S$7=4,FR!B11,IF(cal!$S$7=5,NR!B11,IF(cal!$S$7=6,SP!B11,IF(cal!$S$7=7,SW!B11,IF(cal!$S$7=8,TS!B11,IF(cal!$S$7=9,ExtraTaal1!B11,IF(cal!$S$7=10,ExtraTaal2!B11,IF(cal!$S$7=11,ExtraTaal3!B11,)))))))))))</f>
        <v>Entering air</v>
      </c>
      <c r="C11" s="265">
        <f>IF($S$7=1,NL!C11,IF(cal!$S$7=2,EN!C11,IF(cal!$S$7=3,DE!C11,IF(cal!$S$7=4,FR!C11,IF(cal!$S$7=5,NR!C11,IF(cal!$S$7=6,SP!C11,IF(cal!$S$7=7,SW!C11,IF(cal!$S$7=8,TS!C11,IF(cal!$S$7=9,ExtraTaal1!C11,IF(cal!$S$7=10,ExtraTaal2!C11,IF(cal!$S$7=11,ExtraTaal3!C11,)))))))))))</f>
        <v>0</v>
      </c>
      <c r="D11" s="265">
        <f>IF($S$7=1,NL!D11,IF(cal!$S$7=2,EN!D11,IF(cal!$S$7=3,DE!D11,IF(cal!$S$7=4,FR!D11,IF(cal!$S$7=5,NR!D11,IF(cal!$S$7=6,SP!D11,IF(cal!$S$7=7,SW!D11,IF(cal!$S$7=8,TS!D11,IF(cal!$S$7=9,ExtraTaal1!D11,IF(cal!$S$7=10,ExtraTaal2!D11,IF(cal!$S$7=11,ExtraTaal3!D11,)))))))))))</f>
        <v>0</v>
      </c>
      <c r="E11" s="59">
        <f>Luchtverhitter!E10</f>
        <v>20</v>
      </c>
      <c r="F11" s="49" t="str">
        <f>F9</f>
        <v>°C</v>
      </c>
      <c r="G11" s="265" t="str">
        <f>B11</f>
        <v>Entering air</v>
      </c>
      <c r="H11" s="265">
        <f>IF($S$7=1,NL!H11,IF(cal!$S$7=2,EN!H11,IF(cal!$S$7=3,DE!H11,IF(cal!$S$7=4,FR!H11,))))</f>
        <v>0</v>
      </c>
      <c r="I11" s="265"/>
      <c r="J11" s="265"/>
      <c r="K11" s="59">
        <f>Luchtverhitter!K10</f>
        <v>27</v>
      </c>
      <c r="L11" s="7" t="str">
        <f>F9</f>
        <v>°C</v>
      </c>
      <c r="M11" s="67"/>
      <c r="N11" s="7"/>
      <c r="O11" s="7"/>
      <c r="P11" s="126"/>
      <c r="Q11" s="1"/>
      <c r="S11" s="65">
        <f>IF($W$4=1,E11,IF($W$4=2,(E11-32)/1.8))</f>
        <v>20</v>
      </c>
      <c r="W11" s="65">
        <f>IF($W$4=1,K11,IF($W$4=2,(K11-32)/1.8))</f>
        <v>27</v>
      </c>
      <c r="Y11" s="68">
        <f>IF($W$4=1,(101325*(1-((0.0065*M8)/(288.15)))^((9.81*0.028964)/(8.31447*0.0065))),IF($W$4=2,(101325*(1-((0.0065*(M8*0.3048))/(288.15)))^((9.81*0.028964)/(8.31447*0.0065)))))</f>
        <v>101325</v>
      </c>
      <c r="Z11" s="68">
        <f>IF($W$4=1,M8/1000,IF($W$4=2,M8*0.0003048))</f>
        <v>0</v>
      </c>
      <c r="AA11" s="68">
        <f>-(0.000265264729874266*Z11^6)+(0.000957582908802335*Z11^5)+(0.00470250661483425*Z11^4)-(0.0298716926548353*Z11^3)+(0.0557086806557086*Z11^2)-(0.0484008125693582*Z11)+1</f>
        <v>1</v>
      </c>
      <c r="AB11" s="50">
        <f>(90+70)/2-15</f>
        <v>65</v>
      </c>
      <c r="AC11" s="50">
        <f>((E9+E10)/2)-E11</f>
        <v>50</v>
      </c>
      <c r="AD11" s="50">
        <f>K11-((K9+K10)/2)</f>
        <v>9.8888888888888893</v>
      </c>
      <c r="AI11" s="50">
        <f>IF((237.3*LN(($AQ$1*EXP(17.27*($AM$3/($AM$3+237.3))))))/(17.27-LN(($AQ$1*EXP(17.27*($AM$3/($AM$3+237.3))))))&lt;(($AM$1+$AM$2)/2),1,IF(1/(1+((2258*((0.622/((101325/(1*611*EXP(17.27*((($AM$1+$AM$2)/2)/((($AM$1+$AM$2)/2)+237.3))))))-1)*1000-(0.622/((101325/($AQ$1*611*EXP(17.27*($AM$3/($AM$3+237.3))))))-1)*1000))/(1005*((($AM$1+$AM$2)/2)-$AM$3))))&gt;1,1,1/(1+((2258*((0.622/((101325/(1*611*EXP(17.27*((($AM$1+$AM$2)/2)/((($AM$1+$AM$2)/2)+237.3))))))-1)*1000-(0.622/((101325/($AQ$1*611*EXP(17.27*($AM$3/($AM$3+237.3))))))-1)*1000))/(1005*((($AM$1+$AM$2)/2)-$AM$3))))))</f>
        <v>1</v>
      </c>
    </row>
    <row r="12" spans="2:100" ht="14.5">
      <c r="B12" s="14"/>
      <c r="C12" s="7"/>
      <c r="D12" s="7"/>
      <c r="E12" s="7"/>
      <c r="F12" s="7"/>
      <c r="G12" s="7" t="str">
        <f>IF($S$7=1,NL!G12,IF(cal!$S$7=2,EN!G12,IF(cal!$S$7=3,DE!G12,IF(cal!$S$7=4,FR!G12,IF(cal!$S$7=5,NR!G12,IF(cal!$S$7=6,SP!G12,IF(cal!$S$7=7,SW!G12,IF(cal!$S$7=8,TS!G12,IF(cal!$S$7=9,ExtraTaal1!G12,IF(cal!$S$7=10,ExtraTaal2!G12,IF(cal!$S$7=11,ExtraTaal3!G12,)))))))))))</f>
        <v>Relative humidity</v>
      </c>
      <c r="H12" s="7"/>
      <c r="I12" s="7"/>
      <c r="J12" s="7"/>
      <c r="K12" s="45">
        <f>Luchtverhitter!K11</f>
        <v>0.5</v>
      </c>
      <c r="L12" s="7"/>
      <c r="M12" s="67"/>
      <c r="N12" s="7"/>
      <c r="O12" s="7"/>
      <c r="P12" s="126"/>
      <c r="Q12" s="1"/>
      <c r="W12" s="222">
        <f>Luchtverhitter!K11</f>
        <v>0.5</v>
      </c>
    </row>
    <row r="13" spans="2:10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27"/>
      <c r="P13" s="128"/>
      <c r="Q13" s="1"/>
    </row>
    <row r="14" spans="2:100" ht="14.5">
      <c r="B14" s="61"/>
      <c r="C14" s="61"/>
      <c r="D14" s="140">
        <f>IF($W$4=1,1,IF($W$4=2,3.412141633))</f>
        <v>1</v>
      </c>
      <c r="E14" s="140">
        <f>IF($W$4=1,1,IF($W$4=2,0.004403))</f>
        <v>1</v>
      </c>
      <c r="F14" s="140">
        <f>IF($W$4=1,1,IF($W$4=2,4.0147))</f>
        <v>1</v>
      </c>
      <c r="G14" s="140">
        <f>IF($W$4=1,1,IF($W$4=2,3.412141633))</f>
        <v>1</v>
      </c>
      <c r="H14" s="140">
        <f>IF($W$4=1,1,IF($W$4=2,3.412141633))</f>
        <v>1</v>
      </c>
      <c r="I14" s="140">
        <f>IF($W$4=1,1,IF($W$4=2,0.004403))</f>
        <v>1</v>
      </c>
      <c r="J14" s="140">
        <f>IF($W$4=1,1,IF($W$4=2,4.0147))</f>
        <v>1</v>
      </c>
      <c r="K14" s="141">
        <f>IF($W$4=1,0.000334444444444444,IF($W$4=2,0.000568224721372))</f>
        <v>3.3444444444444401E-4</v>
      </c>
      <c r="L14" s="141"/>
      <c r="M14" s="141">
        <f>IF($W$4=1,1,IF($W$4=2,1.8))</f>
        <v>1</v>
      </c>
      <c r="N14" s="140">
        <f>IF($W$4=1,1,IF($W$4=2,0.588575))</f>
        <v>1</v>
      </c>
      <c r="O14" s="142">
        <f>IF($W$4=1,0,IF($W$4=2,32))</f>
        <v>0</v>
      </c>
      <c r="P14" s="142"/>
      <c r="Q14" s="1"/>
    </row>
    <row r="15" spans="2:100" s="52" customFormat="1" ht="144.75" customHeight="1">
      <c r="B15" s="110" t="str">
        <f>IF($S$7=1,NL!B15,IF(cal!$S$7=2,EN!B15,IF(cal!$S$7=3,DE!B15,IF(cal!$S$7=4,FR!B15,IF(cal!$S$7=5,NR!B15,IF(cal!$S$7=6,SP!B15,IF(cal!$S$7=7,SW!B15,IF(cal!$S$7=8,TS!B15,IF(cal!$S$7=9,ExtraTaal1!B15,IF(cal!$S$7=10,ExtraTaal2!B15,IF(cal!$S$7=11,ExtraTaal3!B15,)))))))))))</f>
        <v>Speed level</v>
      </c>
      <c r="C15" s="111" t="str">
        <f>IF($S$7=1,NL!C15,IF(cal!$S$7=2,EN!C15,IF(cal!$S$7=3,DE!C15,IF(cal!$S$7=4,FR!C15,IF(cal!$S$7=5,NR!C15,IF(cal!$S$7=6,SP!C15,IF(cal!$S$7=7,SW!C15,IF(cal!$S$7=8,TS!C15,IF(cal!$S$7=9,ExtraTaal1!C15,IF(cal!$S$7=10,ExtraTaal2!C15,IF(cal!$S$7=11,ExtraTaal3!C15,)))))))))))</f>
        <v>Control voltage [V]</v>
      </c>
      <c r="D15" s="112" t="str">
        <f>IF($S$7=1,NL!D15,IF(cal!$S$7=2,EN!D15,IF(cal!$S$7=3,DE!D15,IF(cal!$S$7=4,FR!D15,IF(cal!$S$7=5,NR!D15,IF(cal!$S$7=6,SP!D15,IF(cal!$S$7=7,SW!D15,IF(cal!$S$7=8,TS!D15,IF(cal!$S$7=9,ExtraTaal1!D15,IF(cal!$S$7=10,ExtraTaal2!D15,IF(cal!$S$7=11,ExtraTaal3!D15,)))))))))))</f>
        <v>Heat output  75/65/20 [W]</v>
      </c>
      <c r="E15" s="206" t="str">
        <f>IF($S$7=1,NL!E15,IF(cal!$S$7=2,EN!E15,IF(cal!$S$7=3,DE!E15,IF(cal!$S$7=4,FR!E15,IF(cal!$S$7=5,NR!E15,IF(cal!$S$7=6,SP!E15,IF(cal!$S$7=7,SW!E15,IF(cal!$S$7=8,TS!E15,IF(cal!$S$7=9,ExtraTaal1!E15,IF(cal!$S$7=10,ExtraTaal2!E15,IF(cal!$S$7=11,ExtraTaal3!E15,)))))))))))</f>
        <v>Water flowrate, heating [l/h]</v>
      </c>
      <c r="F15" s="207" t="str">
        <f>IF($S$7=1,NL!F15,IF(cal!$S$7=2,EN!F15,IF(cal!$S$7=3,DE!F15,IF(cal!$S$7=4,FR!F15,IF(cal!$S$7=5,NR!F15,IF(cal!$S$7=6,SP!F15,IF(cal!$S$7=7,SW!F15,IF(cal!$S$7=8,TS!F15,IF(cal!$S$7=9,ExtraTaal1!F15,IF(cal!$S$7=10,ExtraTaal2!F15,IF(cal!$S$7=11,ExtraTaal3!F15,)))))))))))</f>
        <v>Watersided pressure loss [kPa]</v>
      </c>
      <c r="G15" s="113" t="str">
        <f>IF($S$7=1,NL!G15,IF(cal!$S$7=2,EN!G15,IF(cal!$S$7=3,DE!G15,IF(cal!$S$7=4,FR!G15,IF(cal!$S$7=5,NR!G15,IF(cal!$S$7=6,SP!G15,IF(cal!$S$7=7,SW!G15,IF(cal!$S$7=8,TS!G15,IF(cal!$S$7=9,ExtraTaal1!G15,IF(cal!$S$7=10,ExtraTaal2!G15,IF(cal!$S$7=11,ExtraTaal3!G15,)))))))))))</f>
        <v>Sens. cooling capacity  16/18/27 [W]</v>
      </c>
      <c r="H15" s="114"/>
      <c r="I15" s="117" t="str">
        <f>IF($S$7=1,NL!I15,IF(cal!$S$7=2,EN!I15,IF(cal!$S$7=3,DE!I15,IF(cal!$S$7=4,FR!I15,IF(cal!$S$7=5,NR!I15,IF(cal!$S$7=6,SP!I15,IF(cal!$S$7=7,SW!I15,IF(cal!$S$7=8,TS!I15,IF(cal!$S$7=9,ExtraTaal1!I15,IF(cal!$S$7=10,ExtraTaal2!I15,IF(cal!$S$7=11,ExtraTaal3!I15,)))))))))))</f>
        <v>RPM [u/min]</v>
      </c>
      <c r="J15" s="207" t="str">
        <f>IF($S$7=1,NL!J15,IF(cal!$S$7=2,EN!J15,IF(cal!$S$7=3,DE!J15,IF(cal!$S$7=4,FR!J15,IF(cal!$S$7=5,NR!J15,IF(cal!$S$7=6,SP!J15,IF(cal!$S$7=7,SW!J15,IF(cal!$S$7=8,TS!J15,IF(cal!$S$7=9,ExtraTaal1!J15,IF(cal!$S$7=10,ExtraTaal2!J15,IF(cal!$S$7=11,ExtraTaal3!J15,)))))))))))</f>
        <v>Watersided pressure loss [kPa]</v>
      </c>
      <c r="K15" s="115" t="str">
        <f>IF($S$7=1,NL!K15,IF(cal!$S$7=2,EN!K15,IF(cal!$S$7=3,DE!K15,IF(cal!$S$7=4,FR!K15,IF(cal!$S$7=5,NR!K15,IF(cal!$S$7=6,SP!K15,IF(cal!$S$7=7,SW!K15,IF(cal!$S$7=8,TS!K15,IF(cal!$S$7=9,ExtraTaal1!K15,IF(cal!$S$7=10,ExtraTaal2!K15,IF(cal!$S$7=11,ExtraTaal3!K15,)))))))))))</f>
        <v>Sound pressure ** [dB(A)]</v>
      </c>
      <c r="L15" s="116" t="str">
        <f>IF($S$7=1,NL!L15,IF(cal!$S$7=2,EN!L15,IF(cal!$S$7=3,DE!L15,IF(cal!$S$7=4,FR!L15,IF(cal!$S$7=5,NR!L15,IF(cal!$S$7=6,SP!L15,IF(cal!$S$7=7,SW!L15,IF(cal!$S$7=8,TS!L15,IF(cal!$S$7=9,ExtraTaal1!L15,IF(cal!$S$7=10,ExtraTaal2!L15,IF(cal!$S$7=11,ExtraTaal3!L15,)))))))))))</f>
        <v>Sound power * [dB(A)]</v>
      </c>
      <c r="M15" s="117" t="str">
        <f>IF($S$7=1,NL!M15,IF(cal!$S$7=2,EN!M15,IF(cal!$S$7=3,DE!M15,IF(cal!$S$7=4,FR!M15,IF(cal!$S$7=5,NR!M15,IF(cal!$S$7=6,SP!M15,IF(cal!$S$7=7,SW!M15,IF(cal!$S$7=8,TS!M15,IF(cal!$S$7=9,ExtraTaal1!M15,IF(cal!$S$7=10,ExtraTaal2!M15,IF(cal!$S$7=11,ExtraTaal3!M15,)))))))))))</f>
        <v>Electrical power [W]</v>
      </c>
      <c r="N15" s="118" t="str">
        <f>IF($S$7=1,NL!N15,IF(cal!$S$7=2,EN!N15,IF(cal!$S$7=3,DE!N15,IF(cal!$S$7=4,FR!N15,IF(cal!$S$7=5,NR!N15,IF(cal!$S$7=6,SP!N15,IF(cal!$S$7=7,SW!N15,IF(cal!$S$7=8,TS!N15,IF(cal!$S$7=9,ExtraTaal1!N15,IF(cal!$S$7=10,ExtraTaal2!N15,IF(cal!$S$7=11,ExtraTaal3!N15,)))))))))))</f>
        <v>Air flowrate [m³/h]</v>
      </c>
      <c r="O15" s="117" t="str">
        <f>IF($S$7=1,NL!O15,IF(cal!$S$7=2,EN!O15,IF(cal!$S$7=3,DE!O15,IF(cal!$S$7=4,FR!O15,IF(cal!$S$7=5,NR!O15,IF(cal!$S$7=6,SP!O15,IF(cal!$S$7=7,SW!O15,IF(cal!$S$7=8,TS!O15,IF(cal!$S$7=9,ExtraTaal1!O15,IF(cal!$S$7=10,ExtraTaal2!O15,IF(cal!$S$7=11,ExtraTaal3!O15,)))))))))))</f>
        <v>Air exhaust temp. heating  [°C]</v>
      </c>
      <c r="P15" s="226" t="str">
        <f>IF($S$7=1,NL!P15,IF(cal!$S$7=2,EN!P15,IF(cal!$S$7=3,DE!P15,IF(cal!$S$7=4,FR!P15,IF(cal!$S$7=5,NR!P15,IF(cal!$S$7=6,SP!P15,IF(cal!$S$7=7,SW!P15,IF(cal!$S$7=8,TS!P15,IF(cal!$S$7=9,ExtraTaal1!P15,IF(cal!$S$7=10,ExtraTaal2!P15,IF(cal!$S$7=11,ExtraTaal3!P15,)))))))))))</f>
        <v>Air exhaust temp. cooling  [°C]</v>
      </c>
      <c r="Q15" s="2"/>
      <c r="W15" s="69" t="s">
        <v>26</v>
      </c>
      <c r="X15" s="70" t="s">
        <v>27</v>
      </c>
      <c r="Y15" s="70" t="s">
        <v>29</v>
      </c>
      <c r="Z15" s="70" t="s">
        <v>221</v>
      </c>
      <c r="AA15" s="70" t="s">
        <v>31</v>
      </c>
      <c r="AB15" s="70" t="s">
        <v>32</v>
      </c>
      <c r="AC15" s="71" t="s">
        <v>33</v>
      </c>
      <c r="AD15" s="72"/>
      <c r="AE15" s="69" t="s">
        <v>26</v>
      </c>
      <c r="AF15" s="70" t="s">
        <v>219</v>
      </c>
      <c r="AG15" s="70" t="s">
        <v>29</v>
      </c>
      <c r="AH15" s="70" t="s">
        <v>30</v>
      </c>
      <c r="AI15" s="70" t="s">
        <v>31</v>
      </c>
      <c r="AJ15" s="70" t="s">
        <v>32</v>
      </c>
      <c r="AK15" s="73" t="s">
        <v>33</v>
      </c>
      <c r="AL15" s="69" t="s">
        <v>26</v>
      </c>
      <c r="AM15" s="70" t="s">
        <v>219</v>
      </c>
      <c r="AN15" s="70" t="s">
        <v>29</v>
      </c>
      <c r="AO15" s="70" t="s">
        <v>30</v>
      </c>
      <c r="AP15" s="70" t="s">
        <v>31</v>
      </c>
      <c r="AQ15" s="70" t="s">
        <v>32</v>
      </c>
      <c r="AR15" s="73" t="s">
        <v>33</v>
      </c>
      <c r="AS15" s="69" t="s">
        <v>26</v>
      </c>
      <c r="AT15" s="70" t="s">
        <v>219</v>
      </c>
      <c r="AU15" s="70" t="s">
        <v>29</v>
      </c>
      <c r="AV15" s="70" t="s">
        <v>30</v>
      </c>
      <c r="AW15" s="70" t="s">
        <v>31</v>
      </c>
      <c r="AX15" s="70" t="s">
        <v>32</v>
      </c>
      <c r="AY15" s="73" t="s">
        <v>33</v>
      </c>
      <c r="AZ15" s="69" t="s">
        <v>26</v>
      </c>
      <c r="BA15" s="70" t="s">
        <v>219</v>
      </c>
      <c r="BB15" s="70" t="s">
        <v>29</v>
      </c>
      <c r="BC15" s="70" t="s">
        <v>30</v>
      </c>
      <c r="BD15" s="70" t="s">
        <v>31</v>
      </c>
      <c r="BE15" s="70" t="s">
        <v>32</v>
      </c>
      <c r="BF15" s="73" t="s">
        <v>33</v>
      </c>
      <c r="BG15" s="69" t="s">
        <v>26</v>
      </c>
      <c r="BH15" s="70" t="s">
        <v>219</v>
      </c>
      <c r="BI15" s="70" t="s">
        <v>29</v>
      </c>
      <c r="BJ15" s="70" t="s">
        <v>30</v>
      </c>
      <c r="BK15" s="70" t="s">
        <v>31</v>
      </c>
      <c r="BL15" s="70" t="s">
        <v>32</v>
      </c>
      <c r="BM15" s="73" t="s">
        <v>33</v>
      </c>
      <c r="BN15" s="69"/>
      <c r="BO15" s="70"/>
      <c r="BP15" s="70"/>
      <c r="BQ15" s="70"/>
      <c r="BR15" s="70"/>
      <c r="BS15" s="70"/>
      <c r="BT15" s="73"/>
      <c r="BU15" s="69"/>
      <c r="BV15" s="70"/>
      <c r="BW15" s="70"/>
      <c r="BX15" s="70"/>
      <c r="BY15" s="70"/>
      <c r="BZ15" s="70"/>
      <c r="CA15" s="73"/>
      <c r="CB15" s="69"/>
      <c r="CC15" s="70"/>
      <c r="CD15" s="70"/>
      <c r="CE15" s="70"/>
      <c r="CF15" s="70"/>
      <c r="CG15" s="70"/>
      <c r="CH15" s="73"/>
      <c r="CI15" s="69"/>
      <c r="CJ15" s="70"/>
      <c r="CK15" s="70"/>
      <c r="CL15" s="70"/>
      <c r="CM15" s="70"/>
      <c r="CN15" s="70"/>
      <c r="CO15" s="73"/>
      <c r="CP15" s="69"/>
      <c r="CQ15" s="70"/>
      <c r="CR15" s="70"/>
      <c r="CS15" s="70"/>
      <c r="CT15" s="70"/>
      <c r="CU15" s="70"/>
      <c r="CV15" s="73"/>
    </row>
    <row r="16" spans="2:100" ht="18" customHeight="1">
      <c r="B16" s="260" t="str">
        <f>IF($S$7=1,NL!B16,IF(cal!$S$7=2,EN!B16,IF(cal!$S$7=3,DE!B16,IF(cal!$S$7=4,FR!B16,IF(cal!$S$7=5,NR!B16,IF(cal!$S$7=6,SP!B16,IF(cal!$S$7=7,SW!B16,IF(cal!$S$7=8,TS!B16,IF(cal!$S$7=9,ExtraTaal1!B16,IF(cal!$S$7=10,ExtraTaal2!B16,IF(cal!$S$7=11,ExtraTaal3!B16,)))))))))))</f>
        <v>Luchtverhitter height 41 cm width 41 cm length 43 cm (Type 021)</v>
      </c>
      <c r="C16" s="261">
        <f>IF($S$7=1,NL!C16,IF(cal!$S$7=2,EN!C16,IF(cal!$S$7=3,DE!C16,IF(cal!$S$7=4,FR!C16,IF(cal!$S$7=5,NR!C16,IF(cal!$S$7=6,SP!C16,))))))</f>
        <v>0</v>
      </c>
      <c r="D16" s="261">
        <f>IF($S$7=1,NL!D16,IF(cal!$S$7=2,EN!D16,IF(cal!$S$7=3,DE!D16,IF(cal!$S$7=4,FR!D16,IF(cal!$S$7=5,NR!D16,IF(cal!$S$7=6,SP!D16,))))))</f>
        <v>0</v>
      </c>
      <c r="E16" s="261">
        <f>IF($S$7=1,NL!E16,IF(cal!$S$7=2,EN!E16,IF(cal!$S$7=3,DE!E16,IF(cal!$S$7=4,FR!E16,IF(cal!$S$7=5,NR!E16,IF(cal!$S$7=6,SP!E16,))))))</f>
        <v>0</v>
      </c>
      <c r="F16" s="261">
        <f>IF($S$7=1,NL!F16,IF(cal!$S$7=2,EN!F16,IF(cal!$S$7=3,DE!F16,IF(cal!$S$7=4,FR!F16,IF(cal!$S$7=5,NR!F16,IF(cal!$S$7=6,SP!F16,))))))</f>
        <v>0</v>
      </c>
      <c r="G16" s="261">
        <f>IF($S$7=1,NL!G16,IF(cal!$S$7=2,EN!G16,IF(cal!$S$7=3,DE!G16,IF(cal!$S$7=4,FR!G16,IF(cal!$S$7=5,NR!G16,IF(cal!$S$7=6,SP!G16,))))))</f>
        <v>0</v>
      </c>
      <c r="H16" s="261">
        <f>IF($S$7=1,NL!H16,IF(cal!$S$7=2,EN!H16,IF(cal!$S$7=3,DE!H16,IF(cal!$S$7=4,FR!H16,IF(cal!$S$7=5,NR!H16,IF(cal!$S$7=6,SP!H16,))))))</f>
        <v>0</v>
      </c>
      <c r="I16" s="261">
        <f>IF($S$7=1,NL!I16,IF(cal!$S$7=2,EN!I16,IF(cal!$S$7=3,DE!I16,IF(cal!$S$7=4,FR!I16,IF(cal!$S$7=5,NR!I16,IF(cal!$S$7=6,SP!I16,))))))</f>
        <v>0</v>
      </c>
      <c r="J16" s="261">
        <f>IF($S$7=1,NL!J16,IF(cal!$S$7=2,EN!J16,IF(cal!$S$7=3,DE!J16,IF(cal!$S$7=4,FR!J16,IF(cal!$S$7=5,NR!J16,IF(cal!$S$7=6,SP!J16,))))))</f>
        <v>0</v>
      </c>
      <c r="K16" s="261">
        <f>IF($S$7=1,NL!K16,IF(cal!$S$7=2,EN!K16,IF(cal!$S$7=3,DE!K16,IF(cal!$S$7=4,FR!K16,IF(cal!$S$7=5,NR!K16,IF(cal!$S$7=6,SP!K16,))))))</f>
        <v>0</v>
      </c>
      <c r="L16" s="261">
        <f>IF($S$7=1,NL!L16,IF(cal!$S$7=2,EN!L16,IF(cal!$S$7=3,DE!L16,IF(cal!$S$7=4,FR!L16,IF(cal!$S$7=5,NR!L16,IF(cal!$S$7=6,SP!L16,))))))</f>
        <v>0</v>
      </c>
      <c r="M16" s="261">
        <f>IF($S$7=1,NL!M16,IF(cal!$S$7=2,EN!M16,IF(cal!$S$7=3,DE!M16,IF(cal!$S$7=4,FR!M16,IF(cal!$S$7=5,NR!M16,IF(cal!$S$7=6,SP!M16,))))))</f>
        <v>0</v>
      </c>
      <c r="N16" s="261">
        <f>IF($S$7=1,NL!N16,IF(cal!$S$7=2,EN!N16,IF(cal!$S$7=3,DE!N16,IF(cal!$S$7=4,FR!N16,IF(cal!$S$7=5,NR!N16,IF(cal!$S$7=6,SP!N16,))))))</f>
        <v>0</v>
      </c>
      <c r="O16" s="261">
        <f>IF($S$7=1,NL!O16,IF(cal!$S$7=2,EN!O16,IF(cal!$S$7=3,DE!O16,IF(cal!$S$7=4,FR!O16,IF(cal!$S$7=5,NR!O16,IF(cal!$S$7=6,SP!O16,))))))</f>
        <v>0</v>
      </c>
      <c r="P16" s="262">
        <f>IF($S$7=1,NL!P16,IF(cal!$S$7=2,EN!P16,IF(cal!$S$7=3,DE!P16,IF(cal!$S$7=4,FR!P16,IF(cal!$S$7=5,NR!P16,IF(cal!$S$7=6,SP!P16,))))))</f>
        <v>0</v>
      </c>
      <c r="Q16" s="1"/>
      <c r="S16" s="53" t="s">
        <v>6</v>
      </c>
      <c r="W16" s="275">
        <f>IF(Luchtverhitter!$K$4=cal!$X2,0,IF(Luchtverhitter!$K$4=cal!$X3,1,IF(Luchtverhitter!$K$4=cal!$X4,2,IF(Luchtverhitter!$K$4=cal!$X5,3,IF(Luchtverhitter!$K$4=cal!$X6,4,IF(Luchtverhitter!$K$4=cal!$X7,5,IF(Luchtverhitter!$K$4=cal!$X8,7,IF(Luchtverhitter!$K$4=cal!$X9,8,))))))))</f>
        <v>0</v>
      </c>
      <c r="X16" s="276"/>
      <c r="Y16" s="277"/>
      <c r="Z16" s="276"/>
      <c r="AA16" s="277"/>
      <c r="AB16" s="277"/>
      <c r="AC16" s="277"/>
      <c r="AD16" s="74"/>
      <c r="AE16" s="272">
        <v>0</v>
      </c>
      <c r="AF16" s="273"/>
      <c r="AG16" s="273"/>
      <c r="AH16" s="273"/>
      <c r="AI16" s="273"/>
      <c r="AJ16" s="273"/>
      <c r="AK16" s="274"/>
      <c r="AL16" s="272">
        <v>1</v>
      </c>
      <c r="AM16" s="273"/>
      <c r="AN16" s="273"/>
      <c r="AO16" s="273"/>
      <c r="AP16" s="273"/>
      <c r="AQ16" s="273"/>
      <c r="AR16" s="274"/>
      <c r="AS16" s="272">
        <v>2</v>
      </c>
      <c r="AT16" s="273"/>
      <c r="AU16" s="273"/>
      <c r="AV16" s="273"/>
      <c r="AW16" s="273"/>
      <c r="AX16" s="273"/>
      <c r="AY16" s="274"/>
      <c r="AZ16" s="272">
        <v>3</v>
      </c>
      <c r="BA16" s="273"/>
      <c r="BB16" s="273"/>
      <c r="BC16" s="273"/>
      <c r="BD16" s="273"/>
      <c r="BE16" s="273"/>
      <c r="BF16" s="274"/>
      <c r="BG16" s="272">
        <v>4</v>
      </c>
      <c r="BH16" s="273"/>
      <c r="BI16" s="273"/>
      <c r="BJ16" s="273"/>
      <c r="BK16" s="273"/>
      <c r="BL16" s="273"/>
      <c r="BM16" s="274"/>
      <c r="BN16" s="272"/>
      <c r="BO16" s="273"/>
      <c r="BP16" s="273"/>
      <c r="BQ16" s="273"/>
      <c r="BR16" s="273"/>
      <c r="BS16" s="273"/>
      <c r="BT16" s="274"/>
      <c r="BU16" s="272">
        <v>321</v>
      </c>
      <c r="BV16" s="273"/>
      <c r="BW16" s="273"/>
      <c r="BX16" s="273"/>
      <c r="BY16" s="273"/>
      <c r="BZ16" s="273"/>
      <c r="CA16" s="274"/>
      <c r="CB16" s="272">
        <v>331</v>
      </c>
      <c r="CC16" s="273"/>
      <c r="CD16" s="273"/>
      <c r="CE16" s="273"/>
      <c r="CF16" s="273"/>
      <c r="CG16" s="273"/>
      <c r="CH16" s="274"/>
      <c r="CI16" s="272">
        <v>332</v>
      </c>
      <c r="CJ16" s="273"/>
      <c r="CK16" s="273"/>
      <c r="CL16" s="273"/>
      <c r="CM16" s="273"/>
      <c r="CN16" s="273"/>
      <c r="CO16" s="274"/>
      <c r="CP16" s="272">
        <v>333</v>
      </c>
      <c r="CQ16" s="273"/>
      <c r="CR16" s="273"/>
      <c r="CS16" s="273"/>
      <c r="CT16" s="273"/>
      <c r="CU16" s="273"/>
      <c r="CV16" s="274"/>
    </row>
    <row r="17" spans="2:100" ht="14.5">
      <c r="B17" s="34">
        <v>0.2</v>
      </c>
      <c r="C17" s="3">
        <v>2</v>
      </c>
      <c r="D17" s="57">
        <f>(W17/1000)*($AC$11/$AB$11)*$D$14*$AA$11</f>
        <v>4.4615384615384617</v>
      </c>
      <c r="E17" s="3"/>
      <c r="F17" s="31"/>
      <c r="G17" s="4">
        <f>IF($AI$11=1,W17*($AD$11/$AB$11)*$G$14*$AA$11,"")</f>
        <v>882.39316239316247</v>
      </c>
      <c r="H17" s="4"/>
      <c r="I17" s="3">
        <f>X17</f>
        <v>731</v>
      </c>
      <c r="J17" s="5"/>
      <c r="K17" s="57">
        <f>L17-16</f>
        <v>34</v>
      </c>
      <c r="L17" s="54">
        <f t="shared" ref="L17:M21" si="0">AA17</f>
        <v>50</v>
      </c>
      <c r="M17" s="47">
        <f t="shared" si="0"/>
        <v>10</v>
      </c>
      <c r="N17" s="62">
        <f>AC17*$N$14</f>
        <v>594</v>
      </c>
      <c r="O17" s="47">
        <f>(Tl_heat+((($D17*1000)/$G$14)/(1006*$N17*$K$14)))*$M$14+$O$14</f>
        <v>42.324216692888413</v>
      </c>
      <c r="P17" s="119">
        <f>IF($AI$11=1,(Tl_cool-(($G17/$G$14)/(1006*$N17*$K$14)))*$M$14+$O$14,"")</f>
        <v>22.584766031850958</v>
      </c>
      <c r="Q17" s="1"/>
      <c r="S17" s="66">
        <v>1</v>
      </c>
      <c r="W17" s="213">
        <f t="shared" ref="W17:AC17" si="1">IF($W$16=0,AE17,IF($W$16=1,AL17,IF($W$16=2,AS17,IF($W$16=3,AZ17,IF($W$16=4,BG17,IF($W$16=5,BN17,IF($W$16=7,BU17,IF($W$16=8,CB17))))))))</f>
        <v>5800</v>
      </c>
      <c r="X17" s="76">
        <f t="shared" si="1"/>
        <v>731</v>
      </c>
      <c r="Y17" s="77">
        <f t="shared" si="1"/>
        <v>882.39316239316247</v>
      </c>
      <c r="Z17" s="77">
        <f t="shared" si="1"/>
        <v>0</v>
      </c>
      <c r="AA17" s="77">
        <f t="shared" si="1"/>
        <v>50</v>
      </c>
      <c r="AB17" s="194">
        <f t="shared" si="1"/>
        <v>10</v>
      </c>
      <c r="AC17" s="77">
        <f t="shared" si="1"/>
        <v>594</v>
      </c>
      <c r="AD17" s="78" t="s">
        <v>50</v>
      </c>
      <c r="AE17" s="75">
        <v>5800</v>
      </c>
      <c r="AF17" s="77">
        <v>731</v>
      </c>
      <c r="AG17" s="194">
        <f>AE17*($AD$11/$AB$11)</f>
        <v>882.39316239316247</v>
      </c>
      <c r="AH17" s="77"/>
      <c r="AI17" s="79">
        <v>50</v>
      </c>
      <c r="AJ17" s="194">
        <v>10</v>
      </c>
      <c r="AK17" s="77">
        <v>594</v>
      </c>
      <c r="AL17" s="75">
        <v>10348</v>
      </c>
      <c r="AM17" s="77">
        <v>458</v>
      </c>
      <c r="AN17" s="79">
        <f>AL17*($AD$11/$AB$11)</f>
        <v>1574.3111111111114</v>
      </c>
      <c r="AO17" s="77"/>
      <c r="AP17" s="79">
        <v>41.2</v>
      </c>
      <c r="AQ17" s="79">
        <v>8</v>
      </c>
      <c r="AR17" s="80">
        <v>699</v>
      </c>
      <c r="AS17" s="75">
        <v>23342</v>
      </c>
      <c r="AT17" s="77">
        <v>515</v>
      </c>
      <c r="AU17" s="79">
        <f>AS17*($AD$11/$AB$11)</f>
        <v>3551.1760683760685</v>
      </c>
      <c r="AV17" s="77"/>
      <c r="AW17" s="79">
        <v>57.8</v>
      </c>
      <c r="AX17" s="79">
        <v>27</v>
      </c>
      <c r="AY17" s="80">
        <v>1773</v>
      </c>
      <c r="AZ17" s="75">
        <v>29259</v>
      </c>
      <c r="BA17" s="77">
        <v>274</v>
      </c>
      <c r="BB17" s="79">
        <f>AZ17*($AD$11/$AB$11)</f>
        <v>4451.3692307692309</v>
      </c>
      <c r="BC17" s="77"/>
      <c r="BD17" s="79">
        <v>43.3</v>
      </c>
      <c r="BE17" s="79">
        <v>20</v>
      </c>
      <c r="BF17" s="80">
        <v>1403</v>
      </c>
      <c r="BG17" s="75">
        <v>38569</v>
      </c>
      <c r="BH17" s="77">
        <v>291</v>
      </c>
      <c r="BI17" s="79">
        <f>BG17*($AD$11/$AB$11)</f>
        <v>5867.7623931623939</v>
      </c>
      <c r="BJ17" s="77"/>
      <c r="BK17" s="79">
        <v>46.2</v>
      </c>
      <c r="BL17" s="79">
        <v>30</v>
      </c>
      <c r="BM17" s="80">
        <v>2207</v>
      </c>
      <c r="BN17" s="75"/>
      <c r="BO17" s="77"/>
      <c r="BP17" s="77"/>
      <c r="BQ17" s="77"/>
      <c r="BR17" s="79"/>
      <c r="BS17" s="79"/>
      <c r="BT17" s="80"/>
      <c r="BU17" s="75"/>
      <c r="BV17" s="77"/>
      <c r="BW17" s="77"/>
      <c r="BX17" s="77"/>
      <c r="BY17" s="77"/>
      <c r="BZ17" s="79"/>
      <c r="CA17" s="80"/>
      <c r="CB17" s="77"/>
      <c r="CC17" s="77"/>
      <c r="CD17" s="77"/>
      <c r="CE17" s="77"/>
      <c r="CF17" s="77"/>
      <c r="CG17" s="79"/>
      <c r="CH17" s="80"/>
      <c r="CI17" s="77"/>
      <c r="CJ17" s="77"/>
      <c r="CK17" s="77"/>
      <c r="CL17" s="77"/>
      <c r="CM17" s="77"/>
      <c r="CN17" s="79"/>
      <c r="CO17" s="80"/>
      <c r="CP17" s="77"/>
      <c r="CQ17" s="77"/>
      <c r="CR17" s="77"/>
      <c r="CS17" s="77"/>
      <c r="CT17" s="77"/>
      <c r="CU17" s="79"/>
      <c r="CV17" s="80"/>
    </row>
    <row r="18" spans="2:100" ht="14.5">
      <c r="B18" s="34">
        <v>0.4</v>
      </c>
      <c r="C18" s="3">
        <v>4</v>
      </c>
      <c r="D18" s="57">
        <f>(W18/1000)*($AC$11/$AB$11)*$D$14*$AA$11</f>
        <v>5.4615384615384617</v>
      </c>
      <c r="E18" s="3"/>
      <c r="F18" s="31"/>
      <c r="G18" s="4">
        <f t="shared" ref="G18:G27" si="2">IF($AI$11=1,W18*($AD$11/$AB$11)*$G$14*$AA$11,"")</f>
        <v>1080.1709401709402</v>
      </c>
      <c r="H18" s="4"/>
      <c r="I18" s="3">
        <f>X18</f>
        <v>984</v>
      </c>
      <c r="J18" s="5"/>
      <c r="K18" s="57">
        <f>L18-16</f>
        <v>42.4</v>
      </c>
      <c r="L18" s="54">
        <f t="shared" si="0"/>
        <v>58.4</v>
      </c>
      <c r="M18" s="47">
        <f t="shared" si="0"/>
        <v>20</v>
      </c>
      <c r="N18" s="62">
        <f>AC18*$N$14</f>
        <v>847</v>
      </c>
      <c r="O18" s="47">
        <f>(Tl_heat+((($D18*1000)/$G$14)/(1006*$N18*$K$14)))*$M$14+$O$14</f>
        <v>39.165035109837476</v>
      </c>
      <c r="P18" s="119">
        <f>IF($AI$11=1,(Tl_cool-(($G18/$G$14)/(1006*$N18*$K$14)))*$M$14+$O$14,"")</f>
        <v>23.209581944943253</v>
      </c>
      <c r="Q18" s="1"/>
      <c r="S18" s="66">
        <v>1</v>
      </c>
      <c r="W18" s="214">
        <f t="shared" ref="W18:X28" si="3">IF($W$16=0,AE18,IF($W$16=1,AL18,IF($W$16=2,AS18,IF($W$16=3,AZ18,IF($W$16=4,BG18,IF($W$16=5,BN18,IF($W$16=7,BU18,IF($W$16=8,CB18))))))))</f>
        <v>7100</v>
      </c>
      <c r="X18" s="82">
        <f t="shared" ref="X18:X23" si="4">IF($W$16=0,AF18,IF($W$16=1,AM18,IF($W$16=2,AT18,IF($W$16=3,BA18,IF($W$16=4,BH18,IF($W$16=5,BO18,IF($W$16=7,BV18,IF($W$16=8,CC18))))))))</f>
        <v>984</v>
      </c>
      <c r="Y18" s="82">
        <f t="shared" ref="Y18:Y27" si="5">IF($W$16=0,AG18,IF($W$16=1,AN18,IF($W$16=2,AU18,IF($W$16=3,BB18,IF($W$16=4,BI18,IF($W$16=5,BP18,IF($W$16=7,BW18,IF($W$16=8,CD18))))))))</f>
        <v>1080.1709401709402</v>
      </c>
      <c r="Z18" s="82">
        <f>IF($W$16=0,AH18,IF($W$16=1,AO18,IF($W$16=2,AV18,IF($W$16=3,BC18,IF($W$16=4,BJ18,IF($W$16=5,BQ18,IF($W$16=7,BX18,IF($W$16=8,CE18))))))))</f>
        <v>0</v>
      </c>
      <c r="AA18" s="82">
        <f t="shared" ref="AA18:AA27" si="6">IF($W$16=0,AI18,IF($W$16=1,AP18,IF($W$16=2,AW18,IF($W$16=3,BD18,IF($W$16=4,BK18,IF($W$16=5,BR18,IF($W$16=7,BY18,IF($W$16=8,CF18))))))))</f>
        <v>58.4</v>
      </c>
      <c r="AB18" s="195">
        <f t="shared" ref="AB18:AB27" si="7">IF($W$16=0,AJ18,IF($W$16=1,AQ18,IF($W$16=2,AX18,IF($W$16=3,BE18,IF($W$16=4,BL18,IF($W$16=5,BS18,IF($W$16=7,BZ18,IF($W$16=8,CG18))))))))</f>
        <v>20</v>
      </c>
      <c r="AC18" s="82">
        <f t="shared" ref="AC18:AC27" si="8">IF($W$16=0,AK18,IF($W$16=1,AR18,IF($W$16=2,AY18,IF($W$16=3,BF18,IF($W$16=4,BM18,IF($W$16=5,BT18,IF($W$16=7,CA18,IF($W$16=8,CH18))))))))</f>
        <v>847</v>
      </c>
      <c r="AD18" s="83" t="s">
        <v>51</v>
      </c>
      <c r="AE18" s="81">
        <v>7100</v>
      </c>
      <c r="AF18" s="82">
        <v>984</v>
      </c>
      <c r="AG18" s="195">
        <f>AE18*($AD$11/$AB$11)</f>
        <v>1080.1709401709402</v>
      </c>
      <c r="AH18" s="82"/>
      <c r="AI18" s="84">
        <v>58.4</v>
      </c>
      <c r="AJ18" s="195">
        <v>20</v>
      </c>
      <c r="AK18" s="82">
        <v>847</v>
      </c>
      <c r="AL18" s="81">
        <v>13849</v>
      </c>
      <c r="AM18" s="82">
        <v>614</v>
      </c>
      <c r="AN18" s="84">
        <f>AL18*($AD$11/$AB$11)</f>
        <v>2106.9418803418807</v>
      </c>
      <c r="AO18" s="82"/>
      <c r="AP18" s="84">
        <v>49.3</v>
      </c>
      <c r="AQ18" s="84">
        <v>14</v>
      </c>
      <c r="AR18" s="85">
        <v>997</v>
      </c>
      <c r="AS18" s="81">
        <v>28268</v>
      </c>
      <c r="AT18" s="82">
        <v>703</v>
      </c>
      <c r="AU18" s="84">
        <f>AS18*($AD$11/$AB$11)</f>
        <v>4300.6017094017097</v>
      </c>
      <c r="AV18" s="82"/>
      <c r="AW18" s="84">
        <v>59.3</v>
      </c>
      <c r="AX18" s="84">
        <v>54</v>
      </c>
      <c r="AY18" s="85">
        <v>2517</v>
      </c>
      <c r="AZ18" s="81">
        <v>37838</v>
      </c>
      <c r="BA18" s="82">
        <v>378</v>
      </c>
      <c r="BB18" s="84">
        <f>AZ18*($AD$11/$AB$11)</f>
        <v>5756.5504273504275</v>
      </c>
      <c r="BC18" s="82"/>
      <c r="BD18" s="84">
        <v>51.6</v>
      </c>
      <c r="BE18" s="84">
        <v>34</v>
      </c>
      <c r="BF18" s="85">
        <v>2036</v>
      </c>
      <c r="BG18" s="81">
        <v>45623</v>
      </c>
      <c r="BH18" s="82">
        <v>399</v>
      </c>
      <c r="BI18" s="84">
        <f>BG18*($AD$11/$AB$11)</f>
        <v>6940.9350427350437</v>
      </c>
      <c r="BJ18" s="82"/>
      <c r="BK18" s="84">
        <v>53.8</v>
      </c>
      <c r="BL18" s="84">
        <v>54</v>
      </c>
      <c r="BM18" s="85">
        <v>3107</v>
      </c>
      <c r="BN18" s="81"/>
      <c r="BO18" s="82"/>
      <c r="BP18" s="82"/>
      <c r="BQ18" s="82"/>
      <c r="BR18" s="84"/>
      <c r="BS18" s="84"/>
      <c r="BT18" s="85"/>
      <c r="BU18" s="81"/>
      <c r="BV18" s="82"/>
      <c r="BW18" s="82"/>
      <c r="BX18" s="82"/>
      <c r="BY18" s="82"/>
      <c r="BZ18" s="84"/>
      <c r="CA18" s="85"/>
      <c r="CB18" s="82"/>
      <c r="CC18" s="82"/>
      <c r="CD18" s="82"/>
      <c r="CE18" s="82"/>
      <c r="CF18" s="82"/>
      <c r="CG18" s="84"/>
      <c r="CH18" s="85"/>
      <c r="CI18" s="82"/>
      <c r="CJ18" s="82"/>
      <c r="CK18" s="82"/>
      <c r="CL18" s="82"/>
      <c r="CM18" s="82"/>
      <c r="CN18" s="84"/>
      <c r="CO18" s="85"/>
      <c r="CP18" s="82"/>
      <c r="CQ18" s="82"/>
      <c r="CR18" s="82"/>
      <c r="CS18" s="82"/>
      <c r="CT18" s="82"/>
      <c r="CU18" s="84"/>
      <c r="CV18" s="85"/>
    </row>
    <row r="19" spans="2:100" ht="14.5">
      <c r="B19" s="34">
        <v>0.6</v>
      </c>
      <c r="C19" s="3">
        <v>6</v>
      </c>
      <c r="D19" s="57">
        <f>(W19/1000)*($AC$11/$AB$11)*$D$14*$AA$11</f>
        <v>6.3846153846153859</v>
      </c>
      <c r="E19" s="3"/>
      <c r="F19" s="31"/>
      <c r="G19" s="4">
        <f t="shared" si="2"/>
        <v>1262.735042735043</v>
      </c>
      <c r="H19" s="4"/>
      <c r="I19" s="3">
        <f>X19</f>
        <v>1286</v>
      </c>
      <c r="J19" s="5"/>
      <c r="K19" s="57">
        <f>L19-16</f>
        <v>50.099999999999994</v>
      </c>
      <c r="L19" s="54">
        <f t="shared" si="0"/>
        <v>66.099999999999994</v>
      </c>
      <c r="M19" s="47">
        <f t="shared" si="0"/>
        <v>43</v>
      </c>
      <c r="N19" s="62">
        <f>AC19*$N$14</f>
        <v>1144</v>
      </c>
      <c r="O19" s="47">
        <f>(Tl_heat+((($D19*1000)/$G$14)/(1006*$N19*$K$14)))*$M$14+$O$14</f>
        <v>36.5877220188206</v>
      </c>
      <c r="P19" s="119">
        <f>IF($AI$11=1,(Tl_cool-(($G19/$G$14)/(1006*$N19*$K$14)))*$M$14+$O$14,"")</f>
        <v>23.719317200722148</v>
      </c>
      <c r="Q19" s="1"/>
      <c r="S19" s="66">
        <v>1</v>
      </c>
      <c r="W19" s="214">
        <f t="shared" si="3"/>
        <v>8300</v>
      </c>
      <c r="X19" s="76">
        <f t="shared" si="4"/>
        <v>1286</v>
      </c>
      <c r="Y19" s="82">
        <f t="shared" si="5"/>
        <v>1262.735042735043</v>
      </c>
      <c r="Z19" s="82">
        <f>IF($W$16=0,AH19,IF($W$16=1,AO19,IF($W$16=2,AV19,IF($W$16=3,BC19,IF($W$16=4,BJ19,IF($W$16=5,BQ19,IF($W$16=7,BX19,IF($W$16=8,CE19))))))))</f>
        <v>0</v>
      </c>
      <c r="AA19" s="82">
        <f t="shared" si="6"/>
        <v>66.099999999999994</v>
      </c>
      <c r="AB19" s="195">
        <f t="shared" si="7"/>
        <v>43</v>
      </c>
      <c r="AC19" s="82">
        <f t="shared" si="8"/>
        <v>1144</v>
      </c>
      <c r="AD19" s="83" t="s">
        <v>52</v>
      </c>
      <c r="AE19" s="81">
        <v>8300</v>
      </c>
      <c r="AF19" s="82">
        <v>1286</v>
      </c>
      <c r="AG19" s="195">
        <f>AE19*($AD$11/$AB$11)</f>
        <v>1262.735042735043</v>
      </c>
      <c r="AH19" s="82"/>
      <c r="AI19" s="84">
        <v>66.099999999999994</v>
      </c>
      <c r="AJ19" s="195">
        <v>43</v>
      </c>
      <c r="AK19" s="82">
        <v>1144</v>
      </c>
      <c r="AL19" s="81">
        <v>16858</v>
      </c>
      <c r="AM19" s="82">
        <v>857</v>
      </c>
      <c r="AN19" s="84">
        <f>AL19*($AD$11/$AB$11)</f>
        <v>2564.7213675213679</v>
      </c>
      <c r="AO19" s="82"/>
      <c r="AP19" s="84">
        <v>57.9</v>
      </c>
      <c r="AQ19" s="84">
        <v>35</v>
      </c>
      <c r="AR19" s="85">
        <v>1438</v>
      </c>
      <c r="AS19" s="81">
        <v>34279</v>
      </c>
      <c r="AT19" s="82">
        <v>936</v>
      </c>
      <c r="AU19" s="84">
        <f>AS19*($AD$11/$AB$11)</f>
        <v>5215.0957264957269</v>
      </c>
      <c r="AV19" s="82"/>
      <c r="AW19" s="84">
        <v>67.599999999999994</v>
      </c>
      <c r="AX19" s="84">
        <v>115</v>
      </c>
      <c r="AY19" s="85">
        <v>3467</v>
      </c>
      <c r="AZ19" s="81">
        <v>46835</v>
      </c>
      <c r="BA19" s="82">
        <v>515</v>
      </c>
      <c r="BB19" s="84">
        <f>AZ19*($AD$11/$AB$11)</f>
        <v>7125.3247863247871</v>
      </c>
      <c r="BC19" s="82"/>
      <c r="BD19" s="84">
        <v>59.1</v>
      </c>
      <c r="BE19" s="84">
        <v>69</v>
      </c>
      <c r="BF19" s="85">
        <v>2998</v>
      </c>
      <c r="BG19" s="81">
        <v>57515</v>
      </c>
      <c r="BH19" s="82">
        <v>539</v>
      </c>
      <c r="BI19" s="84">
        <f>BG19*($AD$11/$AB$11)</f>
        <v>8750.1452991453007</v>
      </c>
      <c r="BJ19" s="82"/>
      <c r="BK19" s="84">
        <v>62.2</v>
      </c>
      <c r="BL19" s="84">
        <v>113</v>
      </c>
      <c r="BM19" s="85">
        <v>4344</v>
      </c>
      <c r="BN19" s="81"/>
      <c r="BO19" s="82"/>
      <c r="BP19" s="82"/>
      <c r="BQ19" s="82"/>
      <c r="BR19" s="84"/>
      <c r="BS19" s="84"/>
      <c r="BT19" s="85"/>
      <c r="BU19" s="81"/>
      <c r="BV19" s="82"/>
      <c r="BW19" s="82"/>
      <c r="BX19" s="82"/>
      <c r="BY19" s="82"/>
      <c r="BZ19" s="84"/>
      <c r="CA19" s="85"/>
      <c r="CB19" s="82"/>
      <c r="CC19" s="82"/>
      <c r="CD19" s="82"/>
      <c r="CE19" s="82"/>
      <c r="CF19" s="82"/>
      <c r="CG19" s="84"/>
      <c r="CH19" s="85"/>
      <c r="CI19" s="82"/>
      <c r="CJ19" s="82"/>
      <c r="CK19" s="82"/>
      <c r="CL19" s="82"/>
      <c r="CM19" s="82"/>
      <c r="CN19" s="84"/>
      <c r="CO19" s="85"/>
      <c r="CP19" s="82"/>
      <c r="CQ19" s="82"/>
      <c r="CR19" s="82"/>
      <c r="CS19" s="82"/>
      <c r="CT19" s="82"/>
      <c r="CU19" s="84"/>
      <c r="CV19" s="85"/>
    </row>
    <row r="20" spans="2:100" ht="14.5">
      <c r="B20" s="34">
        <v>0.8</v>
      </c>
      <c r="C20" s="3">
        <v>8</v>
      </c>
      <c r="D20" s="57">
        <f>(W20/1000)*($AC$11/$AB$11)*$D$14*$AA$11</f>
        <v>7.0769230769230766</v>
      </c>
      <c r="E20" s="3"/>
      <c r="F20" s="31"/>
      <c r="G20" s="4">
        <f t="shared" si="2"/>
        <v>1399.6581196581199</v>
      </c>
      <c r="H20" s="4"/>
      <c r="I20" s="3">
        <f>X20</f>
        <v>1469</v>
      </c>
      <c r="J20" s="5"/>
      <c r="K20" s="57">
        <f>L20-16</f>
        <v>53.900000000000006</v>
      </c>
      <c r="L20" s="54">
        <f t="shared" si="0"/>
        <v>69.900000000000006</v>
      </c>
      <c r="M20" s="47">
        <f t="shared" si="0"/>
        <v>63</v>
      </c>
      <c r="N20" s="62">
        <f>AC20*$N$14</f>
        <v>1325</v>
      </c>
      <c r="O20" s="47">
        <f>(Tl_heat+((($D20*1000)/$G$14)/(1006*$N20*$K$14)))*$M$14+$O$14</f>
        <v>35.874740323135534</v>
      </c>
      <c r="P20" s="119">
        <f>IF($AI$11=1,(Tl_cool-(($G20/$G$14)/(1006*$N20*$K$14)))*$M$14+$O$14,"")</f>
        <v>23.860329136090972</v>
      </c>
      <c r="Q20" s="1"/>
      <c r="S20" s="66">
        <v>1</v>
      </c>
      <c r="W20" s="214">
        <f t="shared" si="3"/>
        <v>9200</v>
      </c>
      <c r="X20" s="82">
        <f t="shared" si="4"/>
        <v>1469</v>
      </c>
      <c r="Y20" s="82">
        <f t="shared" si="5"/>
        <v>1399.6581196581199</v>
      </c>
      <c r="Z20" s="82">
        <f>IF($W$16=0,AH20,IF($W$16=1,AO20,IF($W$16=2,AV20,IF($W$16=3,BC20,IF($W$16=4,BJ20,IF($W$16=5,BQ20,IF($W$16=7,BX20,IF($W$16=8,CE20))))))))</f>
        <v>0</v>
      </c>
      <c r="AA20" s="82">
        <f t="shared" si="6"/>
        <v>69.900000000000006</v>
      </c>
      <c r="AB20" s="195">
        <f t="shared" si="7"/>
        <v>63</v>
      </c>
      <c r="AC20" s="82">
        <f t="shared" si="8"/>
        <v>1325</v>
      </c>
      <c r="AD20" s="83" t="s">
        <v>53</v>
      </c>
      <c r="AE20" s="81">
        <v>9200</v>
      </c>
      <c r="AF20" s="82">
        <v>1469</v>
      </c>
      <c r="AG20" s="195">
        <f>AE20*($AD$11/$AB$11)</f>
        <v>1399.6581196581199</v>
      </c>
      <c r="AH20" s="82"/>
      <c r="AI20" s="84">
        <v>69.900000000000006</v>
      </c>
      <c r="AJ20" s="195">
        <v>63</v>
      </c>
      <c r="AK20" s="82">
        <v>1325</v>
      </c>
      <c r="AL20" s="81">
        <v>18983</v>
      </c>
      <c r="AM20" s="82">
        <v>1143</v>
      </c>
      <c r="AN20" s="84">
        <f>AL20*($AD$11/$AB$11)</f>
        <v>2888.0119658119661</v>
      </c>
      <c r="AO20" s="82"/>
      <c r="AP20" s="84">
        <v>65.5</v>
      </c>
      <c r="AQ20" s="84">
        <v>80</v>
      </c>
      <c r="AR20" s="85">
        <v>1984</v>
      </c>
      <c r="AS20" s="81">
        <v>37231</v>
      </c>
      <c r="AT20" s="82">
        <v>1117</v>
      </c>
      <c r="AU20" s="84">
        <f>AS20*($AD$11/$AB$11)</f>
        <v>5664.2034188034195</v>
      </c>
      <c r="AV20" s="82"/>
      <c r="AW20" s="84">
        <v>71.5</v>
      </c>
      <c r="AX20" s="84">
        <v>187</v>
      </c>
      <c r="AY20" s="85">
        <v>4153</v>
      </c>
      <c r="AZ20" s="81">
        <v>50973</v>
      </c>
      <c r="BA20" s="82">
        <v>722</v>
      </c>
      <c r="BB20" s="84">
        <f>AZ20*($AD$11/$AB$11)</f>
        <v>7754.8666666666677</v>
      </c>
      <c r="BC20" s="82"/>
      <c r="BD20" s="84">
        <v>67.7</v>
      </c>
      <c r="BE20" s="84">
        <v>158</v>
      </c>
      <c r="BF20" s="85">
        <v>4254</v>
      </c>
      <c r="BG20" s="81">
        <v>69630</v>
      </c>
      <c r="BH20" s="82">
        <v>731</v>
      </c>
      <c r="BI20" s="84">
        <f>BG20*($AD$11/$AB$11)</f>
        <v>10593.282051282053</v>
      </c>
      <c r="BJ20" s="82"/>
      <c r="BK20" s="84">
        <v>70.599999999999994</v>
      </c>
      <c r="BL20" s="84">
        <v>249</v>
      </c>
      <c r="BM20" s="85">
        <v>6004</v>
      </c>
      <c r="BN20" s="81"/>
      <c r="BO20" s="82"/>
      <c r="BP20" s="82"/>
      <c r="BQ20" s="82"/>
      <c r="BR20" s="84"/>
      <c r="BS20" s="84"/>
      <c r="BT20" s="85"/>
      <c r="BU20" s="81"/>
      <c r="BV20" s="82"/>
      <c r="BW20" s="82"/>
      <c r="BX20" s="82"/>
      <c r="BY20" s="82"/>
      <c r="BZ20" s="84"/>
      <c r="CA20" s="85"/>
      <c r="CB20" s="82"/>
      <c r="CC20" s="82"/>
      <c r="CD20" s="82"/>
      <c r="CE20" s="82"/>
      <c r="CF20" s="82"/>
      <c r="CG20" s="84"/>
      <c r="CH20" s="85"/>
      <c r="CI20" s="82"/>
      <c r="CJ20" s="82"/>
      <c r="CK20" s="82"/>
      <c r="CL20" s="82"/>
      <c r="CM20" s="82"/>
      <c r="CN20" s="84"/>
      <c r="CO20" s="85"/>
      <c r="CP20" s="82"/>
      <c r="CQ20" s="82"/>
      <c r="CR20" s="82"/>
      <c r="CS20" s="82"/>
      <c r="CT20" s="82"/>
      <c r="CU20" s="84"/>
      <c r="CV20" s="85"/>
    </row>
    <row r="21" spans="2:100" ht="14.5">
      <c r="B21" s="34">
        <v>1</v>
      </c>
      <c r="C21" s="3">
        <v>10</v>
      </c>
      <c r="D21" s="57">
        <f>(W21/1000)*($AC$11/$AB$11)*$D$14*$AA$11</f>
        <v>7.3076923076923084</v>
      </c>
      <c r="E21" s="3"/>
      <c r="F21" s="31"/>
      <c r="G21" s="4">
        <f t="shared" si="2"/>
        <v>1445.2991452991455</v>
      </c>
      <c r="H21" s="4"/>
      <c r="I21" s="3">
        <f>X21</f>
        <v>1559</v>
      </c>
      <c r="J21" s="5"/>
      <c r="K21" s="57">
        <f>L21-16</f>
        <v>55.400000000000006</v>
      </c>
      <c r="L21" s="54">
        <f t="shared" si="0"/>
        <v>71.400000000000006</v>
      </c>
      <c r="M21" s="47">
        <f t="shared" si="0"/>
        <v>76</v>
      </c>
      <c r="N21" s="62">
        <f>AC21*$N$14</f>
        <v>1422</v>
      </c>
      <c r="O21" s="47">
        <f>(Tl_heat+((($D21*1000)/$G$14)/(1006*$N21*$K$14)))*$M$14+$O$14</f>
        <v>35.27420762378987</v>
      </c>
      <c r="P21" s="119">
        <f>IF($AI$11=1,(Tl_cool-(($G21/$G$14)/(1006*$N21*$K$14)))*$M$14+$O$14,"")</f>
        <v>23.979101158850447</v>
      </c>
      <c r="Q21" s="1"/>
      <c r="S21" s="66">
        <v>1</v>
      </c>
      <c r="W21" s="215">
        <f t="shared" si="3"/>
        <v>9500</v>
      </c>
      <c r="X21" s="87">
        <f t="shared" si="4"/>
        <v>1559</v>
      </c>
      <c r="Y21" s="88">
        <f t="shared" si="5"/>
        <v>1445.2991452991455</v>
      </c>
      <c r="Z21" s="90">
        <f>IF($W$16=0,AH21,IF($W$16=1,AO21,IF($W$16=2,AV21,IF($W$16=3,BC21,IF($W$16=4,BJ21,IF($W$16=5,BQ21,IF($W$16=7,BX21,IF($W$16=8,CE21))))))))</f>
        <v>0</v>
      </c>
      <c r="AA21" s="88">
        <f t="shared" si="6"/>
        <v>71.400000000000006</v>
      </c>
      <c r="AB21" s="196">
        <f t="shared" si="7"/>
        <v>76</v>
      </c>
      <c r="AC21" s="88">
        <f t="shared" si="8"/>
        <v>1422</v>
      </c>
      <c r="AD21" s="89" t="s">
        <v>54</v>
      </c>
      <c r="AE21" s="86">
        <v>9500</v>
      </c>
      <c r="AF21" s="90">
        <v>1559</v>
      </c>
      <c r="AG21" s="196">
        <f>AE21*($AD$11/$AB$11)</f>
        <v>1445.2991452991455</v>
      </c>
      <c r="AH21" s="90"/>
      <c r="AI21" s="91">
        <v>71.400000000000006</v>
      </c>
      <c r="AJ21" s="196">
        <v>76</v>
      </c>
      <c r="AK21" s="88">
        <v>1422</v>
      </c>
      <c r="AL21" s="86">
        <v>20467</v>
      </c>
      <c r="AM21" s="90">
        <v>1413</v>
      </c>
      <c r="AN21" s="91">
        <f>AL21*($AD$11/$AB$11)</f>
        <v>3113.7829059829064</v>
      </c>
      <c r="AO21" s="90"/>
      <c r="AP21" s="91">
        <v>71.2</v>
      </c>
      <c r="AQ21" s="91">
        <v>115</v>
      </c>
      <c r="AR21" s="92">
        <v>2422</v>
      </c>
      <c r="AS21" s="86">
        <v>39475</v>
      </c>
      <c r="AT21" s="90">
        <v>1232</v>
      </c>
      <c r="AU21" s="91">
        <f>AS21*($AD$11/$AB$11)</f>
        <v>6005.598290598291</v>
      </c>
      <c r="AV21" s="90"/>
      <c r="AW21" s="91">
        <v>75.2</v>
      </c>
      <c r="AX21" s="91">
        <v>248</v>
      </c>
      <c r="AY21" s="92">
        <v>4643</v>
      </c>
      <c r="AZ21" s="86">
        <v>52259</v>
      </c>
      <c r="BA21" s="90">
        <v>826</v>
      </c>
      <c r="BB21" s="91">
        <f>AZ21*($AD$11/$AB$11)</f>
        <v>7950.5145299145306</v>
      </c>
      <c r="BC21" s="90"/>
      <c r="BD21" s="91">
        <v>71.099999999999994</v>
      </c>
      <c r="BE21" s="91">
        <v>232</v>
      </c>
      <c r="BF21" s="92">
        <v>4915</v>
      </c>
      <c r="BG21" s="86">
        <v>84764</v>
      </c>
      <c r="BH21" s="90">
        <v>972</v>
      </c>
      <c r="BI21" s="91">
        <f>BG21*($AD$11/$AB$11)</f>
        <v>12895.719658119659</v>
      </c>
      <c r="BJ21" s="90"/>
      <c r="BK21" s="91">
        <v>78.3</v>
      </c>
      <c r="BL21" s="91">
        <v>569</v>
      </c>
      <c r="BM21" s="92">
        <v>8147</v>
      </c>
      <c r="BN21" s="86"/>
      <c r="BO21" s="90"/>
      <c r="BP21" s="88"/>
      <c r="BQ21" s="90"/>
      <c r="BR21" s="91"/>
      <c r="BS21" s="91"/>
      <c r="BT21" s="92"/>
      <c r="BU21" s="86"/>
      <c r="BV21" s="90"/>
      <c r="BW21" s="88"/>
      <c r="BX21" s="90"/>
      <c r="BY21" s="88"/>
      <c r="BZ21" s="91"/>
      <c r="CA21" s="92"/>
      <c r="CB21" s="82"/>
      <c r="CC21" s="93"/>
      <c r="CD21" s="82"/>
      <c r="CE21" s="93"/>
      <c r="CF21" s="82"/>
      <c r="CG21" s="84"/>
      <c r="CH21" s="85"/>
      <c r="CI21" s="82"/>
      <c r="CJ21" s="93"/>
      <c r="CK21" s="82"/>
      <c r="CL21" s="93"/>
      <c r="CM21" s="82"/>
      <c r="CN21" s="84"/>
      <c r="CO21" s="85"/>
      <c r="CP21" s="82"/>
      <c r="CQ21" s="93"/>
      <c r="CR21" s="82"/>
      <c r="CS21" s="93"/>
      <c r="CT21" s="82"/>
      <c r="CU21" s="84"/>
      <c r="CV21" s="85"/>
    </row>
    <row r="22" spans="2:100" ht="16.899999999999999" customHeight="1">
      <c r="B22" s="224" t="str">
        <f>IF($S$7=1,NL!B22,IF(cal!$S$7=2,EN!B22,IF(cal!$S$7=3,DE!B22,IF(cal!$S$7=4,FR!B22,IF(cal!$S$7=5,NR!B22,IF(cal!$S$7=6,SP!B22,IF(cal!$S$7=7,SW!B22,IF(cal!$S$7=8,TS!B22,IF(cal!$S$7=9,ExtraTaal1!B22,IF(cal!$S$7=10,ExtraTaal2!B22,IF(cal!$S$7=11,ExtraTaal3!B22,)))))))))))</f>
        <v>Luchtverhitter height 41 cm width 41 cm length 43 cm (Type 031)</v>
      </c>
      <c r="C22" s="258" t="e">
        <f>IF($AI$11=1,(Tl_cool-(($G22/$G$14)/(1006*$N22*$K$14)))*$M$14+$O$14,"")</f>
        <v>#DIV/0!</v>
      </c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9"/>
      <c r="Q22" s="1"/>
      <c r="S22" s="53" t="s">
        <v>6</v>
      </c>
      <c r="W22" s="94" t="str">
        <f t="shared" si="3"/>
        <v>H</v>
      </c>
      <c r="X22" s="95">
        <f t="shared" si="4"/>
        <v>41</v>
      </c>
      <c r="Y22" s="94" t="str">
        <f t="shared" si="5"/>
        <v>B</v>
      </c>
      <c r="Z22" s="95">
        <f>X22</f>
        <v>41</v>
      </c>
      <c r="AA22" s="94" t="str">
        <f t="shared" si="6"/>
        <v>L</v>
      </c>
      <c r="AB22" s="192">
        <f t="shared" si="7"/>
        <v>43</v>
      </c>
      <c r="AC22" s="100">
        <f t="shared" si="8"/>
        <v>21</v>
      </c>
      <c r="AD22" s="98"/>
      <c r="AE22" s="94" t="s">
        <v>34</v>
      </c>
      <c r="AF22" s="99">
        <v>41</v>
      </c>
      <c r="AG22" s="94" t="s">
        <v>35</v>
      </c>
      <c r="AH22" s="99">
        <v>41</v>
      </c>
      <c r="AI22" s="94" t="s">
        <v>36</v>
      </c>
      <c r="AJ22" s="192">
        <v>43</v>
      </c>
      <c r="AK22" s="100">
        <v>21</v>
      </c>
      <c r="AL22" s="94"/>
      <c r="AM22" s="99">
        <v>53</v>
      </c>
      <c r="AN22" s="94"/>
      <c r="AO22" s="99">
        <v>53</v>
      </c>
      <c r="AP22" s="94"/>
      <c r="AQ22" s="189">
        <v>48</v>
      </c>
      <c r="AR22" s="100">
        <v>21</v>
      </c>
      <c r="AS22" s="94"/>
      <c r="AT22" s="99">
        <v>65</v>
      </c>
      <c r="AU22" s="94"/>
      <c r="AV22" s="99">
        <v>65</v>
      </c>
      <c r="AW22" s="94"/>
      <c r="AX22" s="189">
        <v>49.8</v>
      </c>
      <c r="AY22" s="100">
        <v>21</v>
      </c>
      <c r="AZ22" s="94"/>
      <c r="BA22" s="99">
        <v>77</v>
      </c>
      <c r="BB22" s="94"/>
      <c r="BC22" s="99">
        <v>77</v>
      </c>
      <c r="BD22" s="94"/>
      <c r="BE22" s="98">
        <v>57.2</v>
      </c>
      <c r="BF22" s="100">
        <v>21</v>
      </c>
      <c r="BG22" s="94"/>
      <c r="BH22" s="99">
        <v>89</v>
      </c>
      <c r="BI22" s="94"/>
      <c r="BJ22" s="99">
        <v>89</v>
      </c>
      <c r="BK22" s="94"/>
      <c r="BL22" s="189">
        <v>59.2</v>
      </c>
      <c r="BM22" s="100">
        <v>21</v>
      </c>
      <c r="BN22" s="94"/>
      <c r="BO22" s="99"/>
      <c r="BP22" s="94"/>
      <c r="BQ22" s="99"/>
      <c r="BR22" s="94"/>
      <c r="BS22" s="189"/>
      <c r="BT22" s="100"/>
      <c r="BU22" s="94"/>
      <c r="BV22" s="99"/>
      <c r="BW22" s="94"/>
      <c r="BX22" s="99"/>
      <c r="BY22" s="94"/>
      <c r="BZ22" s="189"/>
      <c r="CA22" s="100"/>
      <c r="CB22" s="94"/>
      <c r="CC22" s="101"/>
      <c r="CD22" s="94"/>
      <c r="CE22" s="101"/>
      <c r="CF22" s="94"/>
      <c r="CG22" s="189"/>
      <c r="CH22" s="102"/>
      <c r="CI22" s="94"/>
      <c r="CJ22" s="101"/>
      <c r="CK22" s="94"/>
      <c r="CL22" s="101"/>
      <c r="CM22" s="94"/>
      <c r="CN22" s="189"/>
      <c r="CO22" s="102"/>
      <c r="CP22" s="94"/>
      <c r="CQ22" s="101"/>
      <c r="CR22" s="94"/>
      <c r="CS22" s="101"/>
      <c r="CT22" s="94"/>
      <c r="CU22" s="189"/>
      <c r="CV22" s="102"/>
    </row>
    <row r="23" spans="2:100" ht="14.5">
      <c r="B23" s="34">
        <v>0.2</v>
      </c>
      <c r="C23" s="3">
        <v>2</v>
      </c>
      <c r="D23" s="57">
        <f>(W23/1000)*($AC$11/$AB$11)*$D$14*$AA$11</f>
        <v>5.3076923076923084</v>
      </c>
      <c r="E23" s="3"/>
      <c r="F23" s="31"/>
      <c r="G23" s="4">
        <f t="shared" si="2"/>
        <v>1049.7435897435898</v>
      </c>
      <c r="H23" s="4"/>
      <c r="I23" s="3">
        <f>X23</f>
        <v>731</v>
      </c>
      <c r="J23" s="5"/>
      <c r="K23" s="57">
        <f>L23-16</f>
        <v>33</v>
      </c>
      <c r="L23" s="54">
        <f t="shared" ref="L23:M27" si="9">AA23</f>
        <v>49</v>
      </c>
      <c r="M23" s="47">
        <f t="shared" si="9"/>
        <v>11</v>
      </c>
      <c r="N23" s="62">
        <f>AC23*$N$14</f>
        <v>561</v>
      </c>
      <c r="O23" s="47">
        <f>(Tl_heat+((($D23*1000)/$G$14)/(1006*$N23*$K$14)))*$M$14+$O$14</f>
        <v>48.120362203415226</v>
      </c>
      <c r="P23" s="119">
        <f>IF($AI$11=1,(Tl_cool-(($G23/$G$14)/(1006*$N23*$K$14)))*$M$14+$O$14,"")</f>
        <v>21.438417253102322</v>
      </c>
      <c r="Q23" s="1"/>
      <c r="S23" s="66">
        <v>1</v>
      </c>
      <c r="W23" s="75">
        <f t="shared" si="3"/>
        <v>6900</v>
      </c>
      <c r="X23" s="77">
        <f t="shared" si="4"/>
        <v>731</v>
      </c>
      <c r="Y23" s="79">
        <f t="shared" si="5"/>
        <v>1049.7435897435898</v>
      </c>
      <c r="Z23" s="77"/>
      <c r="AA23" s="79">
        <f t="shared" si="6"/>
        <v>49</v>
      </c>
      <c r="AB23" s="194">
        <f t="shared" si="7"/>
        <v>11</v>
      </c>
      <c r="AC23" s="80">
        <f t="shared" si="8"/>
        <v>561</v>
      </c>
      <c r="AD23" s="83" t="s">
        <v>50</v>
      </c>
      <c r="AE23" s="75">
        <v>6900</v>
      </c>
      <c r="AF23" s="77">
        <v>731</v>
      </c>
      <c r="AG23" s="79">
        <f>AE23*($AD$11/$AB$11)</f>
        <v>1049.7435897435898</v>
      </c>
      <c r="AH23" s="77"/>
      <c r="AI23" s="79">
        <v>49</v>
      </c>
      <c r="AJ23" s="194">
        <v>11</v>
      </c>
      <c r="AK23" s="80">
        <v>561</v>
      </c>
      <c r="AL23" s="75">
        <v>11932</v>
      </c>
      <c r="AM23" s="77">
        <v>458</v>
      </c>
      <c r="AN23" s="79">
        <f>AL23*($AD$11/$AB$11)</f>
        <v>1815.2957264957267</v>
      </c>
      <c r="AO23" s="77"/>
      <c r="AP23" s="79">
        <v>40.200000000000003</v>
      </c>
      <c r="AQ23" s="79">
        <v>9</v>
      </c>
      <c r="AR23" s="80">
        <v>660</v>
      </c>
      <c r="AS23" s="75">
        <v>27597</v>
      </c>
      <c r="AT23" s="77">
        <v>515</v>
      </c>
      <c r="AU23" s="79">
        <f>AS23*($AD$11/$AB$11)</f>
        <v>4198.5179487179494</v>
      </c>
      <c r="AV23" s="77"/>
      <c r="AW23" s="79">
        <v>56.8</v>
      </c>
      <c r="AX23" s="79">
        <v>28</v>
      </c>
      <c r="AY23" s="80">
        <v>1673</v>
      </c>
      <c r="AZ23" s="75">
        <v>32260</v>
      </c>
      <c r="BA23" s="77">
        <v>274</v>
      </c>
      <c r="BB23" s="79">
        <f>AZ23*($AD$11/$AB$11)</f>
        <v>4907.931623931624</v>
      </c>
      <c r="BC23" s="77"/>
      <c r="BD23" s="79">
        <v>42.3</v>
      </c>
      <c r="BE23" s="79">
        <v>21</v>
      </c>
      <c r="BF23" s="80">
        <v>1324</v>
      </c>
      <c r="BG23" s="75">
        <v>41927</v>
      </c>
      <c r="BH23" s="77">
        <v>291</v>
      </c>
      <c r="BI23" s="79">
        <f>BG23*($AD$11/$AB$11)</f>
        <v>6378.6376068376076</v>
      </c>
      <c r="BJ23" s="77"/>
      <c r="BK23" s="79">
        <v>45.2</v>
      </c>
      <c r="BL23" s="79">
        <v>31</v>
      </c>
      <c r="BM23" s="80">
        <v>2083</v>
      </c>
      <c r="BN23" s="75"/>
      <c r="BO23" s="77"/>
      <c r="BP23" s="77"/>
      <c r="BQ23" s="77"/>
      <c r="BR23" s="79"/>
      <c r="BS23" s="79"/>
      <c r="BT23" s="80"/>
      <c r="BU23" s="75"/>
      <c r="BV23" s="77"/>
      <c r="BW23" s="77"/>
      <c r="BX23" s="77"/>
      <c r="BY23" s="77"/>
      <c r="BZ23" s="79"/>
      <c r="CA23" s="80"/>
      <c r="CB23" s="82"/>
      <c r="CC23" s="82"/>
      <c r="CD23" s="82"/>
      <c r="CE23" s="82"/>
      <c r="CF23" s="82"/>
      <c r="CG23" s="84"/>
      <c r="CH23" s="85"/>
      <c r="CI23" s="82"/>
      <c r="CJ23" s="82"/>
      <c r="CK23" s="82"/>
      <c r="CL23" s="82"/>
      <c r="CM23" s="82"/>
      <c r="CN23" s="84"/>
      <c r="CO23" s="85"/>
      <c r="CP23" s="82"/>
      <c r="CQ23" s="82"/>
      <c r="CR23" s="82"/>
      <c r="CS23" s="82"/>
      <c r="CT23" s="82"/>
      <c r="CU23" s="84"/>
      <c r="CV23" s="85"/>
    </row>
    <row r="24" spans="2:100" ht="14.5">
      <c r="B24" s="34">
        <v>0.4</v>
      </c>
      <c r="C24" s="3">
        <v>4</v>
      </c>
      <c r="D24" s="57">
        <f>(W24/1000)*($AC$11/$AB$11)*$D$14*$AA$11</f>
        <v>6.5384615384615392</v>
      </c>
      <c r="E24" s="3"/>
      <c r="F24" s="31"/>
      <c r="G24" s="4">
        <f t="shared" si="2"/>
        <v>1293.1623931623933</v>
      </c>
      <c r="H24" s="4"/>
      <c r="I24" s="3">
        <f>X24</f>
        <v>984</v>
      </c>
      <c r="J24" s="5"/>
      <c r="K24" s="57">
        <f>L24-16</f>
        <v>41.4</v>
      </c>
      <c r="L24" s="54">
        <f t="shared" si="9"/>
        <v>57.4</v>
      </c>
      <c r="M24" s="47">
        <f t="shared" si="9"/>
        <v>21</v>
      </c>
      <c r="N24" s="62">
        <f>AC24*$N$14</f>
        <v>799</v>
      </c>
      <c r="O24" s="47">
        <f>(Tl_heat+((($D24*1000)/$G$14)/(1006*$N24*$K$14)))*$M$14+$O$14</f>
        <v>44.322422442361926</v>
      </c>
      <c r="P24" s="119">
        <f>IF($AI$11=1,(Tl_cool-(($G24/$G$14)/(1006*$N24*$K$14)))*$M$14+$O$14,"")</f>
        <v>22.189565339177307</v>
      </c>
      <c r="Q24" s="1"/>
      <c r="S24" s="66">
        <v>1</v>
      </c>
      <c r="W24" s="81">
        <f t="shared" si="3"/>
        <v>8500</v>
      </c>
      <c r="X24" s="82">
        <f t="shared" si="3"/>
        <v>984</v>
      </c>
      <c r="Y24" s="84">
        <f t="shared" si="5"/>
        <v>1293.1623931623933</v>
      </c>
      <c r="Z24" s="82"/>
      <c r="AA24" s="84">
        <f t="shared" si="6"/>
        <v>57.4</v>
      </c>
      <c r="AB24" s="195">
        <f t="shared" si="7"/>
        <v>21</v>
      </c>
      <c r="AC24" s="85">
        <f t="shared" si="8"/>
        <v>799</v>
      </c>
      <c r="AD24" s="83" t="s">
        <v>51</v>
      </c>
      <c r="AE24" s="81">
        <v>8500</v>
      </c>
      <c r="AF24" s="82">
        <v>984</v>
      </c>
      <c r="AG24" s="84">
        <f>AE24*($AD$11/$AB$11)</f>
        <v>1293.1623931623933</v>
      </c>
      <c r="AH24" s="82"/>
      <c r="AI24" s="84">
        <v>57.4</v>
      </c>
      <c r="AJ24" s="195">
        <v>21</v>
      </c>
      <c r="AK24" s="85">
        <v>799</v>
      </c>
      <c r="AL24" s="81">
        <v>15910</v>
      </c>
      <c r="AM24" s="82">
        <v>614</v>
      </c>
      <c r="AN24" s="84">
        <f>AL24*($AD$11/$AB$11)</f>
        <v>2420.4957264957266</v>
      </c>
      <c r="AO24" s="82"/>
      <c r="AP24" s="84">
        <v>48.2</v>
      </c>
      <c r="AQ24" s="84">
        <v>15</v>
      </c>
      <c r="AR24" s="85">
        <v>941</v>
      </c>
      <c r="AS24" s="81">
        <v>33730</v>
      </c>
      <c r="AT24" s="82">
        <v>703</v>
      </c>
      <c r="AU24" s="84">
        <f>AS24*($AD$11/$AB$11)</f>
        <v>5131.5726495726503</v>
      </c>
      <c r="AV24" s="82"/>
      <c r="AW24" s="84">
        <v>58.2</v>
      </c>
      <c r="AX24" s="84">
        <v>55</v>
      </c>
      <c r="AY24" s="85">
        <v>2375</v>
      </c>
      <c r="AZ24" s="81">
        <v>36298</v>
      </c>
      <c r="BA24" s="82">
        <v>378</v>
      </c>
      <c r="BB24" s="84">
        <f>AZ24*($AD$11/$AB$11)</f>
        <v>5522.2598290598298</v>
      </c>
      <c r="BC24" s="82"/>
      <c r="BD24" s="84">
        <v>50.3</v>
      </c>
      <c r="BE24" s="84">
        <v>35</v>
      </c>
      <c r="BF24" s="85">
        <v>1922</v>
      </c>
      <c r="BG24" s="81">
        <v>54031</v>
      </c>
      <c r="BH24" s="82">
        <v>399</v>
      </c>
      <c r="BI24" s="84">
        <f>BG24*($AD$11/$AB$11)</f>
        <v>8220.1008547008551</v>
      </c>
      <c r="BJ24" s="82"/>
      <c r="BK24" s="84">
        <v>52.7</v>
      </c>
      <c r="BL24" s="84">
        <v>55</v>
      </c>
      <c r="BM24" s="85">
        <v>2932</v>
      </c>
      <c r="BN24" s="81"/>
      <c r="BO24" s="82"/>
      <c r="BP24" s="82"/>
      <c r="BQ24" s="82"/>
      <c r="BR24" s="84"/>
      <c r="BS24" s="84"/>
      <c r="BT24" s="85"/>
      <c r="BU24" s="81"/>
      <c r="BV24" s="82"/>
      <c r="BW24" s="82"/>
      <c r="BX24" s="82"/>
      <c r="BY24" s="82"/>
      <c r="BZ24" s="84"/>
      <c r="CA24" s="85"/>
      <c r="CB24" s="82"/>
      <c r="CC24" s="82"/>
      <c r="CD24" s="82"/>
      <c r="CE24" s="82"/>
      <c r="CF24" s="82"/>
      <c r="CG24" s="84"/>
      <c r="CH24" s="85"/>
      <c r="CI24" s="82"/>
      <c r="CJ24" s="82"/>
      <c r="CK24" s="82"/>
      <c r="CL24" s="82"/>
      <c r="CM24" s="82"/>
      <c r="CN24" s="84"/>
      <c r="CO24" s="85"/>
      <c r="CP24" s="82"/>
      <c r="CQ24" s="82"/>
      <c r="CR24" s="82"/>
      <c r="CS24" s="82"/>
      <c r="CT24" s="82"/>
      <c r="CU24" s="84"/>
      <c r="CV24" s="85"/>
    </row>
    <row r="25" spans="2:100" ht="14.5">
      <c r="B25" s="34">
        <v>0.6</v>
      </c>
      <c r="C25" s="3">
        <v>6</v>
      </c>
      <c r="D25" s="57">
        <f>(W25/1000)*($AC$11/$AB$11)*$D$14*$AA$11</f>
        <v>8.0769230769230766</v>
      </c>
      <c r="E25" s="3"/>
      <c r="F25" s="31"/>
      <c r="G25" s="4">
        <f t="shared" si="2"/>
        <v>1597.4358974358977</v>
      </c>
      <c r="H25" s="4"/>
      <c r="I25" s="3">
        <f>X25</f>
        <v>1286</v>
      </c>
      <c r="J25" s="5"/>
      <c r="K25" s="57">
        <f>L25-16</f>
        <v>49</v>
      </c>
      <c r="L25" s="54">
        <f t="shared" si="9"/>
        <v>65</v>
      </c>
      <c r="M25" s="47">
        <f t="shared" si="9"/>
        <v>45</v>
      </c>
      <c r="N25" s="62">
        <f>AC25*$N$14</f>
        <v>1080</v>
      </c>
      <c r="O25" s="47">
        <f>(Tl_heat+((($D25*1000)/$G$14)/(1006*$N25*$K$14)))*$M$14+$O$14</f>
        <v>42.227991620936308</v>
      </c>
      <c r="P25" s="119">
        <f>IF($AI$11=1,(Tl_cool-(($G25/$G$14)/(1006*$N25*$K$14)))*$M$14+$O$14,"")</f>
        <v>22.603797212748152</v>
      </c>
      <c r="Q25" s="1"/>
      <c r="S25" s="66">
        <v>1</v>
      </c>
      <c r="W25" s="81">
        <f t="shared" si="3"/>
        <v>10500</v>
      </c>
      <c r="X25" s="82">
        <f t="shared" si="3"/>
        <v>1286</v>
      </c>
      <c r="Y25" s="84">
        <f t="shared" si="5"/>
        <v>1597.4358974358977</v>
      </c>
      <c r="Z25" s="82"/>
      <c r="AA25" s="84">
        <f t="shared" si="6"/>
        <v>65</v>
      </c>
      <c r="AB25" s="195">
        <f t="shared" si="7"/>
        <v>45</v>
      </c>
      <c r="AC25" s="85">
        <f t="shared" si="8"/>
        <v>1080</v>
      </c>
      <c r="AD25" s="83" t="s">
        <v>52</v>
      </c>
      <c r="AE25" s="81">
        <v>10500</v>
      </c>
      <c r="AF25" s="82">
        <v>1286</v>
      </c>
      <c r="AG25" s="84">
        <f>AE25*($AD$11/$AB$11)</f>
        <v>1597.4358974358977</v>
      </c>
      <c r="AH25" s="82"/>
      <c r="AI25" s="84">
        <v>65</v>
      </c>
      <c r="AJ25" s="195">
        <v>45</v>
      </c>
      <c r="AK25" s="85">
        <v>1080</v>
      </c>
      <c r="AL25" s="81">
        <v>21754</v>
      </c>
      <c r="AM25" s="82">
        <v>857</v>
      </c>
      <c r="AN25" s="84">
        <f>AL25*($AD$11/$AB$11)</f>
        <v>3309.5829059829061</v>
      </c>
      <c r="AO25" s="82"/>
      <c r="AP25" s="84">
        <v>56.3</v>
      </c>
      <c r="AQ25" s="84">
        <v>37</v>
      </c>
      <c r="AR25" s="85">
        <v>1357</v>
      </c>
      <c r="AS25" s="81">
        <v>40425</v>
      </c>
      <c r="AT25" s="82">
        <v>936</v>
      </c>
      <c r="AU25" s="84">
        <f>AS25*($AD$11/$AB$11)</f>
        <v>6150.128205128206</v>
      </c>
      <c r="AV25" s="82"/>
      <c r="AW25" s="84">
        <v>69.099999999999994</v>
      </c>
      <c r="AX25" s="84">
        <v>117</v>
      </c>
      <c r="AY25" s="85">
        <v>3272</v>
      </c>
      <c r="AZ25" s="81">
        <v>46291</v>
      </c>
      <c r="BA25" s="82">
        <v>515</v>
      </c>
      <c r="BB25" s="84">
        <f>AZ25*($AD$11/$AB$11)</f>
        <v>7042.5623931623941</v>
      </c>
      <c r="BC25" s="82"/>
      <c r="BD25" s="84">
        <v>57.9</v>
      </c>
      <c r="BE25" s="84">
        <v>71</v>
      </c>
      <c r="BF25" s="85">
        <v>2829</v>
      </c>
      <c r="BG25" s="81">
        <v>69737</v>
      </c>
      <c r="BH25" s="82">
        <v>539</v>
      </c>
      <c r="BI25" s="84">
        <f>BG25*($AD$11/$AB$11)</f>
        <v>10609.560683760685</v>
      </c>
      <c r="BJ25" s="82"/>
      <c r="BK25" s="84">
        <v>60.9</v>
      </c>
      <c r="BL25" s="84">
        <v>115</v>
      </c>
      <c r="BM25" s="85">
        <v>4100</v>
      </c>
      <c r="BN25" s="81"/>
      <c r="BO25" s="82"/>
      <c r="BP25" s="82"/>
      <c r="BQ25" s="82"/>
      <c r="BR25" s="84"/>
      <c r="BS25" s="84"/>
      <c r="BT25" s="85"/>
      <c r="BU25" s="81"/>
      <c r="BV25" s="82"/>
      <c r="BW25" s="82"/>
      <c r="BX25" s="82"/>
      <c r="BY25" s="82"/>
      <c r="BZ25" s="84"/>
      <c r="CA25" s="85"/>
      <c r="CB25" s="82"/>
      <c r="CC25" s="82"/>
      <c r="CD25" s="82"/>
      <c r="CE25" s="82"/>
      <c r="CF25" s="82"/>
      <c r="CG25" s="84"/>
      <c r="CH25" s="85"/>
      <c r="CI25" s="82"/>
      <c r="CJ25" s="82"/>
      <c r="CK25" s="82"/>
      <c r="CL25" s="82"/>
      <c r="CM25" s="82"/>
      <c r="CN25" s="84"/>
      <c r="CO25" s="85"/>
      <c r="CP25" s="82"/>
      <c r="CQ25" s="82"/>
      <c r="CR25" s="82"/>
      <c r="CS25" s="82"/>
      <c r="CT25" s="82"/>
      <c r="CU25" s="84"/>
      <c r="CV25" s="85"/>
    </row>
    <row r="26" spans="2:100" ht="14.5">
      <c r="B26" s="34">
        <v>0.8</v>
      </c>
      <c r="C26" s="3">
        <v>8</v>
      </c>
      <c r="D26" s="57">
        <f>(W26/1000)*($AC$11/$AB$11)*$D$14*$AA$11</f>
        <v>9</v>
      </c>
      <c r="E26" s="3"/>
      <c r="F26" s="31"/>
      <c r="G26" s="4">
        <f t="shared" si="2"/>
        <v>1780.0000000000002</v>
      </c>
      <c r="H26" s="4"/>
      <c r="I26" s="3">
        <f>X26</f>
        <v>1469</v>
      </c>
      <c r="J26" s="5"/>
      <c r="K26" s="57">
        <f>L26-16</f>
        <v>52</v>
      </c>
      <c r="L26" s="54">
        <f t="shared" si="9"/>
        <v>68</v>
      </c>
      <c r="M26" s="47">
        <f t="shared" si="9"/>
        <v>65</v>
      </c>
      <c r="N26" s="62">
        <f>AC26*$N$14</f>
        <v>1251</v>
      </c>
      <c r="O26" s="47">
        <f>(Tl_heat+((($D26*1000)/$G$14)/(1006*$N26*$K$14)))*$M$14+$O$14</f>
        <v>41.382733974508099</v>
      </c>
      <c r="P26" s="119">
        <f>IF($AI$11=1,(Tl_cool-(($G26/$G$14)/(1006*$N26*$K$14)))*$M$14+$O$14,"")</f>
        <v>22.770970391708396</v>
      </c>
      <c r="Q26" s="1"/>
      <c r="S26" s="66">
        <v>1</v>
      </c>
      <c r="W26" s="81">
        <f t="shared" si="3"/>
        <v>11700</v>
      </c>
      <c r="X26" s="82">
        <f t="shared" si="3"/>
        <v>1469</v>
      </c>
      <c r="Y26" s="84">
        <f t="shared" si="5"/>
        <v>1780.0000000000002</v>
      </c>
      <c r="Z26" s="82"/>
      <c r="AA26" s="84">
        <f t="shared" si="6"/>
        <v>68</v>
      </c>
      <c r="AB26" s="195">
        <f t="shared" si="7"/>
        <v>65</v>
      </c>
      <c r="AC26" s="85">
        <f t="shared" si="8"/>
        <v>1251</v>
      </c>
      <c r="AD26" s="83" t="s">
        <v>53</v>
      </c>
      <c r="AE26" s="81">
        <v>11700</v>
      </c>
      <c r="AF26" s="82">
        <v>1469</v>
      </c>
      <c r="AG26" s="84">
        <f>AE26*($AD$11/$AB$11)</f>
        <v>1780.0000000000002</v>
      </c>
      <c r="AH26" s="82"/>
      <c r="AI26" s="84">
        <v>68</v>
      </c>
      <c r="AJ26" s="195">
        <v>65</v>
      </c>
      <c r="AK26" s="85">
        <v>1251</v>
      </c>
      <c r="AL26" s="81">
        <v>25151</v>
      </c>
      <c r="AM26" s="82">
        <v>1143</v>
      </c>
      <c r="AN26" s="84">
        <f>AL26*($AD$11/$AB$11)</f>
        <v>3826.3914529914532</v>
      </c>
      <c r="AO26" s="82"/>
      <c r="AP26" s="84">
        <v>63.1</v>
      </c>
      <c r="AQ26" s="84">
        <v>82</v>
      </c>
      <c r="AR26" s="85">
        <v>1872</v>
      </c>
      <c r="AS26" s="81">
        <v>44964</v>
      </c>
      <c r="AT26" s="82">
        <v>1117</v>
      </c>
      <c r="AU26" s="84">
        <f>AS26*($AD$11/$AB$11)</f>
        <v>6840.6769230769241</v>
      </c>
      <c r="AV26" s="82"/>
      <c r="AW26" s="84">
        <v>69.599999999999994</v>
      </c>
      <c r="AX26" s="84">
        <v>189</v>
      </c>
      <c r="AY26" s="85">
        <v>3920</v>
      </c>
      <c r="AZ26" s="81">
        <v>58226</v>
      </c>
      <c r="BA26" s="82">
        <v>722</v>
      </c>
      <c r="BB26" s="84">
        <f>AZ26*($AD$11/$AB$11)</f>
        <v>8858.3145299145308</v>
      </c>
      <c r="BC26" s="82"/>
      <c r="BD26" s="84">
        <v>65.900000000000006</v>
      </c>
      <c r="BE26" s="84">
        <v>160</v>
      </c>
      <c r="BF26" s="85">
        <v>4015</v>
      </c>
      <c r="BG26" s="81">
        <v>85020</v>
      </c>
      <c r="BH26" s="82">
        <v>731</v>
      </c>
      <c r="BI26" s="84">
        <f>BG26*($AD$11/$AB$11)</f>
        <v>12934.666666666668</v>
      </c>
      <c r="BJ26" s="82"/>
      <c r="BK26" s="84">
        <v>68.900000000000006</v>
      </c>
      <c r="BL26" s="84">
        <v>251</v>
      </c>
      <c r="BM26" s="85">
        <v>5666</v>
      </c>
      <c r="BN26" s="81"/>
      <c r="BO26" s="82"/>
      <c r="BP26" s="82"/>
      <c r="BQ26" s="82"/>
      <c r="BR26" s="84"/>
      <c r="BS26" s="84"/>
      <c r="BT26" s="85"/>
      <c r="BU26" s="81"/>
      <c r="BV26" s="82"/>
      <c r="BW26" s="82"/>
      <c r="BX26" s="82"/>
      <c r="BY26" s="82"/>
      <c r="BZ26" s="84"/>
      <c r="CA26" s="85"/>
      <c r="CB26" s="82"/>
      <c r="CC26" s="82"/>
      <c r="CD26" s="82"/>
      <c r="CE26" s="82"/>
      <c r="CF26" s="82"/>
      <c r="CG26" s="84"/>
      <c r="CH26" s="85"/>
      <c r="CI26" s="82"/>
      <c r="CJ26" s="82"/>
      <c r="CK26" s="82"/>
      <c r="CL26" s="82"/>
      <c r="CM26" s="82"/>
      <c r="CN26" s="84"/>
      <c r="CO26" s="85"/>
      <c r="CP26" s="82"/>
      <c r="CQ26" s="82"/>
      <c r="CR26" s="82"/>
      <c r="CS26" s="82"/>
      <c r="CT26" s="82"/>
      <c r="CU26" s="84"/>
      <c r="CV26" s="85"/>
    </row>
    <row r="27" spans="2:100" ht="14.5">
      <c r="B27" s="34">
        <v>1</v>
      </c>
      <c r="C27" s="3">
        <v>10</v>
      </c>
      <c r="D27" s="57">
        <f>(W27/1000)*($AC$11/$AB$11)*$D$14*$AA$11</f>
        <v>9.6153846153846168</v>
      </c>
      <c r="E27" s="3"/>
      <c r="F27" s="31"/>
      <c r="G27" s="4">
        <f t="shared" si="2"/>
        <v>1901.7094017094018</v>
      </c>
      <c r="H27" s="4"/>
      <c r="I27" s="3">
        <f>X27</f>
        <v>1559</v>
      </c>
      <c r="J27" s="5"/>
      <c r="K27" s="57">
        <f>L27-16</f>
        <v>53.099999999999994</v>
      </c>
      <c r="L27" s="54">
        <f t="shared" si="9"/>
        <v>69.099999999999994</v>
      </c>
      <c r="M27" s="47">
        <f t="shared" si="9"/>
        <v>79</v>
      </c>
      <c r="N27" s="62">
        <f>AC27*$N$14</f>
        <v>1342</v>
      </c>
      <c r="O27" s="47">
        <f>(Tl_heat+((($D27*1000)/$G$14)/(1006*$N27*$K$14)))*$M$14+$O$14</f>
        <v>41.295712645138046</v>
      </c>
      <c r="P27" s="119">
        <f>IF($AI$11=1,(Tl_cool-(($G27/$G$14)/(1006*$N27*$K$14)))*$M$14+$O$14,"")</f>
        <v>22.788181276850477</v>
      </c>
      <c r="Q27" s="1"/>
      <c r="S27" s="66">
        <v>1</v>
      </c>
      <c r="W27" s="86">
        <f t="shared" si="3"/>
        <v>12500</v>
      </c>
      <c r="X27" s="90">
        <f t="shared" si="3"/>
        <v>1559</v>
      </c>
      <c r="Y27" s="91">
        <f t="shared" si="5"/>
        <v>1901.7094017094018</v>
      </c>
      <c r="Z27" s="90"/>
      <c r="AA27" s="91">
        <f t="shared" si="6"/>
        <v>69.099999999999994</v>
      </c>
      <c r="AB27" s="196">
        <f t="shared" si="7"/>
        <v>79</v>
      </c>
      <c r="AC27" s="92">
        <f t="shared" si="8"/>
        <v>1342</v>
      </c>
      <c r="AD27" s="89" t="s">
        <v>54</v>
      </c>
      <c r="AE27" s="86">
        <v>12500</v>
      </c>
      <c r="AF27" s="90">
        <v>1559</v>
      </c>
      <c r="AG27" s="91">
        <f>AE27*($AD$11/$AB$11)</f>
        <v>1901.7094017094018</v>
      </c>
      <c r="AH27" s="90"/>
      <c r="AI27" s="91">
        <v>69.099999999999994</v>
      </c>
      <c r="AJ27" s="196">
        <v>79</v>
      </c>
      <c r="AK27" s="92">
        <v>1342</v>
      </c>
      <c r="AL27" s="86">
        <v>26077</v>
      </c>
      <c r="AM27" s="90">
        <v>1413</v>
      </c>
      <c r="AN27" s="91">
        <f>AL27*($AD$11/$AB$11)</f>
        <v>3967.2700854700856</v>
      </c>
      <c r="AO27" s="90"/>
      <c r="AP27" s="91">
        <v>71.2</v>
      </c>
      <c r="AQ27" s="91">
        <v>118</v>
      </c>
      <c r="AR27" s="92">
        <v>2286</v>
      </c>
      <c r="AS27" s="86">
        <v>47700</v>
      </c>
      <c r="AT27" s="90">
        <v>1232</v>
      </c>
      <c r="AU27" s="91">
        <f>AS27*($AD$11/$AB$11)</f>
        <v>7256.923076923078</v>
      </c>
      <c r="AV27" s="90"/>
      <c r="AW27" s="91">
        <v>75.8</v>
      </c>
      <c r="AX27" s="91">
        <v>251</v>
      </c>
      <c r="AY27" s="92">
        <v>4382</v>
      </c>
      <c r="AZ27" s="86">
        <v>67259</v>
      </c>
      <c r="BA27" s="90">
        <v>826</v>
      </c>
      <c r="BB27" s="91">
        <f>AZ27*($AD$11/$AB$11)</f>
        <v>10232.565811965813</v>
      </c>
      <c r="BC27" s="90"/>
      <c r="BD27" s="91">
        <v>72.3</v>
      </c>
      <c r="BE27" s="91">
        <v>325</v>
      </c>
      <c r="BF27" s="92">
        <v>4639</v>
      </c>
      <c r="BG27" s="86">
        <v>102183</v>
      </c>
      <c r="BH27" s="90">
        <v>972</v>
      </c>
      <c r="BI27" s="91">
        <f>BG27*($AD$11/$AB$11)</f>
        <v>15545.789743589745</v>
      </c>
      <c r="BJ27" s="90"/>
      <c r="BK27" s="91">
        <v>76.400000000000006</v>
      </c>
      <c r="BL27" s="91">
        <v>572</v>
      </c>
      <c r="BM27" s="92">
        <v>7689</v>
      </c>
      <c r="BN27" s="86"/>
      <c r="BO27" s="90"/>
      <c r="BP27" s="88"/>
      <c r="BQ27" s="90"/>
      <c r="BR27" s="91"/>
      <c r="BS27" s="91"/>
      <c r="BT27" s="92"/>
      <c r="BU27" s="86"/>
      <c r="BV27" s="90"/>
      <c r="BW27" s="88"/>
      <c r="BX27" s="90"/>
      <c r="BY27" s="88"/>
      <c r="BZ27" s="91"/>
      <c r="CA27" s="92"/>
      <c r="CB27" s="82"/>
      <c r="CC27" s="93"/>
      <c r="CD27" s="82"/>
      <c r="CE27" s="93"/>
      <c r="CF27" s="82"/>
      <c r="CG27" s="84"/>
      <c r="CH27" s="85"/>
      <c r="CI27" s="82"/>
      <c r="CJ27" s="93"/>
      <c r="CK27" s="82"/>
      <c r="CL27" s="93"/>
      <c r="CM27" s="82"/>
      <c r="CN27" s="84"/>
      <c r="CO27" s="85"/>
      <c r="CP27" s="82"/>
      <c r="CQ27" s="93"/>
      <c r="CR27" s="82"/>
      <c r="CS27" s="93"/>
      <c r="CT27" s="82"/>
      <c r="CU27" s="84"/>
      <c r="CV27" s="85"/>
    </row>
    <row r="28" spans="2:100" ht="18" customHeight="1">
      <c r="B28" s="260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2"/>
      <c r="Q28" s="1"/>
      <c r="S28" s="53" t="s">
        <v>6</v>
      </c>
      <c r="W28" s="105" t="s">
        <v>34</v>
      </c>
      <c r="X28" s="106">
        <f t="shared" si="3"/>
        <v>41</v>
      </c>
      <c r="Y28" s="105" t="s">
        <v>35</v>
      </c>
      <c r="Z28" s="106">
        <f t="shared" ref="Z28" si="10">X28</f>
        <v>41</v>
      </c>
      <c r="AA28" s="105" t="s">
        <v>36</v>
      </c>
      <c r="AB28" s="193">
        <f>IF($W$16=0,AJ28,IF($W$16=1,AQ28,IF($W$16=2,AX28,IF($W$16=3,BE28,IF($W$16=4,BL28,IF($W$16=5,BS28,IF($W$16=7,BZ28,IF($W$16=8,CG28))))))))</f>
        <v>43</v>
      </c>
      <c r="AC28" s="107">
        <f>IF($W$16=0,AK28,IF($W$16=1,AR28,IF($W$16=2,AY28,IF($W$16=3,BF28,IF($W$16=4,BM28,IF($W$16=5,BT28,IF($W$16=7,CA28,IF($W$16=8,CH28))))))))</f>
        <v>31</v>
      </c>
      <c r="AD28" s="98"/>
      <c r="AE28" s="105" t="s">
        <v>34</v>
      </c>
      <c r="AF28" s="106">
        <v>41</v>
      </c>
      <c r="AG28" s="105" t="s">
        <v>35</v>
      </c>
      <c r="AH28" s="106">
        <v>43</v>
      </c>
      <c r="AI28" s="105" t="s">
        <v>36</v>
      </c>
      <c r="AJ28" s="193">
        <v>43</v>
      </c>
      <c r="AK28" s="107">
        <v>31</v>
      </c>
      <c r="AL28" s="94"/>
      <c r="AM28" s="99">
        <v>53</v>
      </c>
      <c r="AN28" s="94"/>
      <c r="AO28" s="99">
        <v>53</v>
      </c>
      <c r="AP28" s="94"/>
      <c r="AQ28" s="189">
        <v>48</v>
      </c>
      <c r="AR28" s="100">
        <v>31</v>
      </c>
      <c r="AS28" s="94"/>
      <c r="AT28" s="99">
        <v>65</v>
      </c>
      <c r="AU28" s="94"/>
      <c r="AV28" s="99">
        <v>65</v>
      </c>
      <c r="AW28" s="94"/>
      <c r="AX28" s="189">
        <v>49.8</v>
      </c>
      <c r="AY28" s="100">
        <v>31</v>
      </c>
      <c r="AZ28" s="94"/>
      <c r="BA28" s="99">
        <v>77</v>
      </c>
      <c r="BB28" s="94"/>
      <c r="BC28" s="99">
        <v>77</v>
      </c>
      <c r="BD28" s="94"/>
      <c r="BE28" s="189">
        <v>57.2</v>
      </c>
      <c r="BF28" s="100">
        <v>31</v>
      </c>
      <c r="BG28" s="94"/>
      <c r="BH28" s="99">
        <v>89</v>
      </c>
      <c r="BI28" s="94"/>
      <c r="BJ28" s="99">
        <v>89</v>
      </c>
      <c r="BK28" s="94"/>
      <c r="BL28" s="189">
        <v>59.2</v>
      </c>
      <c r="BM28" s="100">
        <v>31</v>
      </c>
      <c r="BN28" s="94"/>
      <c r="BO28" s="99"/>
      <c r="BP28" s="94"/>
      <c r="BQ28" s="99"/>
      <c r="BR28" s="94"/>
      <c r="BS28" s="189"/>
      <c r="BT28" s="100"/>
      <c r="BU28" s="94"/>
      <c r="BV28" s="99"/>
      <c r="BW28" s="94"/>
      <c r="BX28" s="99"/>
      <c r="BY28" s="94"/>
      <c r="BZ28" s="189"/>
      <c r="CA28" s="100"/>
      <c r="CB28" s="94"/>
      <c r="CC28" s="101"/>
      <c r="CD28" s="94"/>
      <c r="CE28" s="101"/>
      <c r="CF28" s="94"/>
      <c r="CG28" s="189"/>
      <c r="CH28" s="102"/>
      <c r="CI28" s="94"/>
      <c r="CJ28" s="101"/>
      <c r="CK28" s="94"/>
      <c r="CL28" s="101"/>
      <c r="CM28" s="94"/>
      <c r="CN28" s="189"/>
      <c r="CO28" s="102"/>
      <c r="CP28" s="94"/>
      <c r="CQ28" s="101"/>
      <c r="CR28" s="94"/>
      <c r="CS28" s="101"/>
      <c r="CT28" s="94"/>
      <c r="CU28" s="189"/>
      <c r="CV28" s="102"/>
    </row>
    <row r="29" spans="2:100" ht="14.5">
      <c r="B29" s="34"/>
      <c r="C29" s="3"/>
      <c r="D29" s="27"/>
      <c r="E29" s="3"/>
      <c r="F29" s="31"/>
      <c r="G29" s="4"/>
      <c r="H29" s="4"/>
      <c r="I29" s="3"/>
      <c r="J29" s="5"/>
      <c r="K29" s="57"/>
      <c r="L29" s="54"/>
      <c r="M29" s="47"/>
      <c r="N29" s="62"/>
      <c r="O29" s="47"/>
      <c r="P29" s="119"/>
      <c r="Q29" s="1"/>
      <c r="S29" s="66">
        <v>1</v>
      </c>
      <c r="W29" s="75"/>
      <c r="X29" s="76"/>
      <c r="Y29" s="77"/>
      <c r="Z29" s="76"/>
      <c r="AA29" s="77"/>
      <c r="AB29" s="77"/>
      <c r="AC29" s="77"/>
      <c r="AD29" s="83"/>
      <c r="AE29" s="75"/>
      <c r="AF29" s="77"/>
      <c r="AG29" s="77"/>
      <c r="AH29" s="77"/>
      <c r="AI29" s="79"/>
      <c r="AJ29" s="194"/>
      <c r="AK29" s="80"/>
      <c r="AL29" s="75"/>
      <c r="AM29" s="77"/>
      <c r="AN29" s="77"/>
      <c r="AO29" s="77"/>
      <c r="AP29" s="79"/>
      <c r="AQ29" s="79"/>
      <c r="AR29" s="80">
        <v>1773</v>
      </c>
      <c r="AS29" s="75"/>
      <c r="AT29" s="77"/>
      <c r="AU29" s="77"/>
      <c r="AV29" s="77"/>
      <c r="AW29" s="79"/>
      <c r="AX29" s="79"/>
      <c r="AY29" s="80"/>
      <c r="AZ29" s="75"/>
      <c r="BA29" s="77"/>
      <c r="BB29" s="77"/>
      <c r="BC29" s="77"/>
      <c r="BD29" s="79"/>
      <c r="BE29" s="79"/>
      <c r="BF29" s="80"/>
      <c r="BG29" s="75"/>
      <c r="BH29" s="77"/>
      <c r="BI29" s="77"/>
      <c r="BJ29" s="77"/>
      <c r="BK29" s="79"/>
      <c r="BL29" s="79"/>
      <c r="BM29" s="80"/>
      <c r="BN29" s="75"/>
      <c r="BO29" s="77"/>
      <c r="BP29" s="77"/>
      <c r="BQ29" s="77"/>
      <c r="BR29" s="79"/>
      <c r="BS29" s="79"/>
      <c r="BT29" s="80"/>
      <c r="BU29" s="75"/>
      <c r="BV29" s="77"/>
      <c r="BW29" s="77"/>
      <c r="BX29" s="77"/>
      <c r="BY29" s="77"/>
      <c r="BZ29" s="79"/>
      <c r="CA29" s="80"/>
      <c r="CB29" s="82"/>
      <c r="CC29" s="82"/>
      <c r="CD29" s="82"/>
      <c r="CE29" s="82"/>
      <c r="CF29" s="82"/>
      <c r="CG29" s="84"/>
      <c r="CH29" s="85"/>
      <c r="CI29" s="82"/>
      <c r="CJ29" s="82"/>
      <c r="CK29" s="82"/>
      <c r="CL29" s="82"/>
      <c r="CM29" s="82"/>
      <c r="CN29" s="84"/>
      <c r="CO29" s="85"/>
      <c r="CP29" s="82"/>
      <c r="CQ29" s="82"/>
      <c r="CR29" s="82"/>
      <c r="CS29" s="82"/>
      <c r="CT29" s="82"/>
      <c r="CU29" s="84"/>
      <c r="CV29" s="85"/>
    </row>
    <row r="30" spans="2:100" ht="14.5">
      <c r="B30" s="34"/>
      <c r="C30" s="3"/>
      <c r="D30" s="27"/>
      <c r="E30" s="3"/>
      <c r="F30" s="31"/>
      <c r="G30" s="4"/>
      <c r="H30" s="4"/>
      <c r="I30" s="3"/>
      <c r="J30" s="5"/>
      <c r="K30" s="57"/>
      <c r="L30" s="54"/>
      <c r="M30" s="47"/>
      <c r="N30" s="62"/>
      <c r="O30" s="47"/>
      <c r="P30" s="119"/>
      <c r="Q30" s="1"/>
      <c r="S30" s="66">
        <v>1</v>
      </c>
      <c r="W30" s="81"/>
      <c r="X30" s="82"/>
      <c r="Y30" s="82"/>
      <c r="Z30" s="82"/>
      <c r="AA30" s="82"/>
      <c r="AB30" s="82"/>
      <c r="AC30" s="82"/>
      <c r="AD30" s="83"/>
      <c r="AE30" s="81"/>
      <c r="AF30" s="82"/>
      <c r="AG30" s="82"/>
      <c r="AH30" s="82"/>
      <c r="AI30" s="84"/>
      <c r="AJ30" s="195"/>
      <c r="AK30" s="85"/>
      <c r="AL30" s="81"/>
      <c r="AM30" s="82"/>
      <c r="AN30" s="82"/>
      <c r="AO30" s="82"/>
      <c r="AP30" s="84"/>
      <c r="AQ30" s="84"/>
      <c r="AR30" s="85">
        <v>2517</v>
      </c>
      <c r="AS30" s="81"/>
      <c r="AT30" s="82"/>
      <c r="AU30" s="82"/>
      <c r="AV30" s="82"/>
      <c r="AW30" s="84"/>
      <c r="AX30" s="84"/>
      <c r="AY30" s="85"/>
      <c r="AZ30" s="81"/>
      <c r="BA30" s="82"/>
      <c r="BB30" s="82"/>
      <c r="BC30" s="82"/>
      <c r="BD30" s="84"/>
      <c r="BE30" s="84"/>
      <c r="BF30" s="85"/>
      <c r="BG30" s="81"/>
      <c r="BH30" s="82"/>
      <c r="BI30" s="82"/>
      <c r="BJ30" s="82"/>
      <c r="BK30" s="84"/>
      <c r="BL30" s="84"/>
      <c r="BM30" s="85"/>
      <c r="BN30" s="81"/>
      <c r="BO30" s="82"/>
      <c r="BP30" s="82"/>
      <c r="BQ30" s="82"/>
      <c r="BR30" s="84"/>
      <c r="BS30" s="84"/>
      <c r="BT30" s="85"/>
      <c r="BU30" s="81"/>
      <c r="BV30" s="82"/>
      <c r="BW30" s="82"/>
      <c r="BX30" s="82"/>
      <c r="BY30" s="82"/>
      <c r="BZ30" s="84"/>
      <c r="CA30" s="85"/>
      <c r="CB30" s="82"/>
      <c r="CC30" s="82"/>
      <c r="CD30" s="82"/>
      <c r="CE30" s="82"/>
      <c r="CF30" s="82"/>
      <c r="CG30" s="84"/>
      <c r="CH30" s="85"/>
      <c r="CI30" s="82"/>
      <c r="CJ30" s="82"/>
      <c r="CK30" s="82"/>
      <c r="CL30" s="82"/>
      <c r="CM30" s="82"/>
      <c r="CN30" s="84"/>
      <c r="CO30" s="85"/>
      <c r="CP30" s="82"/>
      <c r="CQ30" s="82"/>
      <c r="CR30" s="82"/>
      <c r="CS30" s="82"/>
      <c r="CT30" s="82"/>
      <c r="CU30" s="84"/>
      <c r="CV30" s="85"/>
    </row>
    <row r="31" spans="2:100" ht="14.5">
      <c r="B31" s="34"/>
      <c r="C31" s="3"/>
      <c r="D31" s="27"/>
      <c r="E31" s="3"/>
      <c r="F31" s="31"/>
      <c r="G31" s="4"/>
      <c r="H31" s="4"/>
      <c r="I31" s="3"/>
      <c r="J31" s="5"/>
      <c r="K31" s="57"/>
      <c r="L31" s="54"/>
      <c r="M31" s="47"/>
      <c r="N31" s="62"/>
      <c r="O31" s="47"/>
      <c r="P31" s="119"/>
      <c r="Q31" s="1"/>
      <c r="S31" s="66">
        <v>1</v>
      </c>
      <c r="W31" s="81"/>
      <c r="X31" s="76"/>
      <c r="Y31" s="82"/>
      <c r="Z31" s="76"/>
      <c r="AA31" s="82"/>
      <c r="AB31" s="82"/>
      <c r="AC31" s="82"/>
      <c r="AD31" s="83"/>
      <c r="AE31" s="81"/>
      <c r="AF31" s="82"/>
      <c r="AG31" s="84"/>
      <c r="AH31" s="82"/>
      <c r="AI31" s="84"/>
      <c r="AJ31" s="195"/>
      <c r="AK31" s="85"/>
      <c r="AL31" s="81"/>
      <c r="AM31" s="82"/>
      <c r="AN31" s="82"/>
      <c r="AO31" s="82"/>
      <c r="AP31" s="84"/>
      <c r="AQ31" s="84"/>
      <c r="AR31" s="85">
        <v>3467</v>
      </c>
      <c r="AS31" s="81"/>
      <c r="AT31" s="82"/>
      <c r="AU31" s="82"/>
      <c r="AV31" s="82"/>
      <c r="AW31" s="84"/>
      <c r="AX31" s="84"/>
      <c r="AY31" s="85"/>
      <c r="AZ31" s="81"/>
      <c r="BA31" s="82"/>
      <c r="BB31" s="82"/>
      <c r="BC31" s="82"/>
      <c r="BD31" s="84"/>
      <c r="BE31" s="84"/>
      <c r="BF31" s="85"/>
      <c r="BG31" s="81"/>
      <c r="BH31" s="82"/>
      <c r="BI31" s="82"/>
      <c r="BJ31" s="82"/>
      <c r="BK31" s="84"/>
      <c r="BL31" s="84"/>
      <c r="BM31" s="85"/>
      <c r="BN31" s="81"/>
      <c r="BO31" s="82"/>
      <c r="BP31" s="82"/>
      <c r="BQ31" s="82"/>
      <c r="BR31" s="84"/>
      <c r="BS31" s="84"/>
      <c r="BT31" s="85"/>
      <c r="BU31" s="81"/>
      <c r="BV31" s="82"/>
      <c r="BW31" s="82"/>
      <c r="BX31" s="82"/>
      <c r="BY31" s="82"/>
      <c r="BZ31" s="84"/>
      <c r="CA31" s="85"/>
      <c r="CB31" s="82"/>
      <c r="CC31" s="82"/>
      <c r="CD31" s="82"/>
      <c r="CE31" s="82"/>
      <c r="CF31" s="82"/>
      <c r="CG31" s="84"/>
      <c r="CH31" s="85"/>
      <c r="CI31" s="82"/>
      <c r="CJ31" s="82"/>
      <c r="CK31" s="82"/>
      <c r="CL31" s="82"/>
      <c r="CM31" s="82"/>
      <c r="CN31" s="84"/>
      <c r="CO31" s="85"/>
      <c r="CP31" s="82"/>
      <c r="CQ31" s="82"/>
      <c r="CR31" s="82"/>
      <c r="CS31" s="82"/>
      <c r="CT31" s="82"/>
      <c r="CU31" s="84"/>
      <c r="CV31" s="85"/>
    </row>
    <row r="32" spans="2:100" ht="14.5">
      <c r="B32" s="34"/>
      <c r="C32" s="3"/>
      <c r="D32" s="27"/>
      <c r="E32" s="3"/>
      <c r="F32" s="31"/>
      <c r="G32" s="4"/>
      <c r="H32" s="4"/>
      <c r="I32" s="3"/>
      <c r="J32" s="5"/>
      <c r="K32" s="57"/>
      <c r="L32" s="54"/>
      <c r="M32" s="47"/>
      <c r="N32" s="62"/>
      <c r="O32" s="47"/>
      <c r="P32" s="119"/>
      <c r="Q32" s="1"/>
      <c r="S32" s="66">
        <v>1</v>
      </c>
      <c r="W32" s="81"/>
      <c r="X32" s="82"/>
      <c r="Y32" s="82"/>
      <c r="Z32" s="82"/>
      <c r="AA32" s="82"/>
      <c r="AB32" s="82"/>
      <c r="AC32" s="82"/>
      <c r="AD32" s="83"/>
      <c r="AE32" s="81"/>
      <c r="AF32" s="82"/>
      <c r="AG32" s="84"/>
      <c r="AH32" s="82"/>
      <c r="AI32" s="84"/>
      <c r="AJ32" s="195"/>
      <c r="AK32" s="85"/>
      <c r="AL32" s="81"/>
      <c r="AM32" s="82"/>
      <c r="AN32" s="82"/>
      <c r="AO32" s="82"/>
      <c r="AP32" s="84"/>
      <c r="AQ32" s="84"/>
      <c r="AR32" s="85">
        <v>4153</v>
      </c>
      <c r="AS32" s="81"/>
      <c r="AT32" s="82"/>
      <c r="AU32" s="82"/>
      <c r="AV32" s="82"/>
      <c r="AW32" s="84"/>
      <c r="AX32" s="84"/>
      <c r="AY32" s="85"/>
      <c r="AZ32" s="81"/>
      <c r="BA32" s="82"/>
      <c r="BB32" s="82"/>
      <c r="BC32" s="82"/>
      <c r="BD32" s="84"/>
      <c r="BE32" s="84"/>
      <c r="BF32" s="85"/>
      <c r="BG32" s="81"/>
      <c r="BH32" s="82"/>
      <c r="BI32" s="82"/>
      <c r="BJ32" s="82"/>
      <c r="BK32" s="84"/>
      <c r="BL32" s="84"/>
      <c r="BM32" s="85"/>
      <c r="BN32" s="81"/>
      <c r="BO32" s="82"/>
      <c r="BP32" s="82"/>
      <c r="BQ32" s="82"/>
      <c r="BR32" s="84"/>
      <c r="BS32" s="84"/>
      <c r="BT32" s="85"/>
      <c r="BU32" s="81"/>
      <c r="BV32" s="82"/>
      <c r="BW32" s="82"/>
      <c r="BX32" s="82"/>
      <c r="BY32" s="82"/>
      <c r="BZ32" s="84"/>
      <c r="CA32" s="85"/>
      <c r="CB32" s="82"/>
      <c r="CC32" s="82"/>
      <c r="CD32" s="82"/>
      <c r="CE32" s="82"/>
      <c r="CF32" s="82"/>
      <c r="CG32" s="84"/>
      <c r="CH32" s="85"/>
      <c r="CI32" s="82"/>
      <c r="CJ32" s="82"/>
      <c r="CK32" s="82"/>
      <c r="CL32" s="82"/>
      <c r="CM32" s="82"/>
      <c r="CN32" s="84"/>
      <c r="CO32" s="85"/>
      <c r="CP32" s="82"/>
      <c r="CQ32" s="82"/>
      <c r="CR32" s="82"/>
      <c r="CS32" s="82"/>
      <c r="CT32" s="82"/>
      <c r="CU32" s="84"/>
      <c r="CV32" s="85"/>
    </row>
    <row r="33" spans="2:100" ht="14.5">
      <c r="B33" s="34"/>
      <c r="C33" s="3"/>
      <c r="D33" s="27"/>
      <c r="E33" s="3"/>
      <c r="F33" s="31"/>
      <c r="G33" s="4"/>
      <c r="H33" s="4"/>
      <c r="I33" s="3"/>
      <c r="J33" s="5"/>
      <c r="K33" s="57"/>
      <c r="L33" s="54"/>
      <c r="M33" s="47"/>
      <c r="N33" s="62"/>
      <c r="O33" s="47"/>
      <c r="P33" s="119"/>
      <c r="Q33" s="1"/>
      <c r="S33" s="66">
        <v>1</v>
      </c>
      <c r="W33" s="86"/>
      <c r="X33" s="87"/>
      <c r="Y33" s="88"/>
      <c r="Z33" s="87"/>
      <c r="AA33" s="88"/>
      <c r="AB33" s="88"/>
      <c r="AC33" s="88"/>
      <c r="AD33" s="89"/>
      <c r="AE33" s="86"/>
      <c r="AF33" s="90"/>
      <c r="AG33" s="91"/>
      <c r="AH33" s="90"/>
      <c r="AI33" s="91"/>
      <c r="AJ33" s="196"/>
      <c r="AK33" s="92"/>
      <c r="AL33" s="86"/>
      <c r="AM33" s="90"/>
      <c r="AN33" s="88"/>
      <c r="AO33" s="90"/>
      <c r="AP33" s="91"/>
      <c r="AQ33" s="91"/>
      <c r="AR33" s="92">
        <v>4643</v>
      </c>
      <c r="AS33" s="86"/>
      <c r="AT33" s="90"/>
      <c r="AU33" s="88"/>
      <c r="AV33" s="90"/>
      <c r="AW33" s="91"/>
      <c r="AX33" s="91"/>
      <c r="AY33" s="92"/>
      <c r="AZ33" s="86"/>
      <c r="BA33" s="90"/>
      <c r="BB33" s="88"/>
      <c r="BC33" s="90"/>
      <c r="BD33" s="91"/>
      <c r="BE33" s="91"/>
      <c r="BF33" s="92"/>
      <c r="BG33" s="86"/>
      <c r="BH33" s="90"/>
      <c r="BI33" s="88"/>
      <c r="BJ33" s="90"/>
      <c r="BK33" s="91"/>
      <c r="BL33" s="91"/>
      <c r="BM33" s="92"/>
      <c r="BN33" s="86"/>
      <c r="BO33" s="90"/>
      <c r="BP33" s="88"/>
      <c r="BQ33" s="90"/>
      <c r="BR33" s="91"/>
      <c r="BS33" s="91"/>
      <c r="BT33" s="92"/>
      <c r="BU33" s="86"/>
      <c r="BV33" s="90"/>
      <c r="BW33" s="88"/>
      <c r="BX33" s="90"/>
      <c r="BY33" s="88"/>
      <c r="BZ33" s="91"/>
      <c r="CA33" s="92"/>
      <c r="CB33" s="82"/>
      <c r="CC33" s="93"/>
      <c r="CD33" s="82"/>
      <c r="CE33" s="93"/>
      <c r="CF33" s="82"/>
      <c r="CG33" s="84"/>
      <c r="CH33" s="85"/>
      <c r="CI33" s="82"/>
      <c r="CJ33" s="93"/>
      <c r="CK33" s="82"/>
      <c r="CL33" s="93"/>
      <c r="CM33" s="82"/>
      <c r="CN33" s="84"/>
      <c r="CO33" s="85"/>
      <c r="CP33" s="82"/>
      <c r="CQ33" s="93"/>
      <c r="CR33" s="82"/>
      <c r="CS33" s="93"/>
      <c r="CT33" s="82"/>
      <c r="CU33" s="84"/>
      <c r="CV33" s="85"/>
    </row>
    <row r="34" spans="2:100" ht="16.899999999999999" customHeight="1">
      <c r="B34" s="260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2"/>
      <c r="Q34" s="1"/>
      <c r="S34" s="53" t="s">
        <v>6</v>
      </c>
      <c r="W34" s="94"/>
      <c r="X34" s="95"/>
      <c r="Y34" s="94"/>
      <c r="Z34" s="95"/>
      <c r="AA34" s="94"/>
      <c r="AB34" s="96"/>
      <c r="AC34" s="97"/>
      <c r="AD34" s="98"/>
      <c r="AE34" s="105"/>
      <c r="AF34" s="106"/>
      <c r="AG34" s="105"/>
      <c r="AH34" s="106"/>
      <c r="AI34" s="105"/>
      <c r="AJ34" s="193"/>
      <c r="AK34" s="107"/>
      <c r="AL34" s="94"/>
      <c r="AM34" s="99"/>
      <c r="AN34" s="94"/>
      <c r="AO34" s="99"/>
      <c r="AP34" s="94"/>
      <c r="AQ34" s="189"/>
      <c r="AR34" s="100"/>
      <c r="AS34" s="94"/>
      <c r="AT34" s="99"/>
      <c r="AU34" s="94"/>
      <c r="AV34" s="99"/>
      <c r="AW34" s="94"/>
      <c r="AX34" s="189"/>
      <c r="AY34" s="100"/>
      <c r="AZ34" s="94"/>
      <c r="BA34" s="99"/>
      <c r="BB34" s="94"/>
      <c r="BC34" s="99"/>
      <c r="BD34" s="94"/>
      <c r="BE34" s="189"/>
      <c r="BF34" s="100"/>
      <c r="BG34" s="94"/>
      <c r="BH34" s="99"/>
      <c r="BI34" s="94"/>
      <c r="BJ34" s="99"/>
      <c r="BK34" s="94"/>
      <c r="BL34" s="189"/>
      <c r="BM34" s="100"/>
      <c r="BN34" s="94"/>
      <c r="BO34" s="99"/>
      <c r="BP34" s="94"/>
      <c r="BQ34" s="99"/>
      <c r="BR34" s="94"/>
      <c r="BS34" s="189"/>
      <c r="BT34" s="99"/>
      <c r="BU34" s="94"/>
      <c r="BV34" s="99"/>
      <c r="BW34" s="94"/>
      <c r="BX34" s="99"/>
      <c r="BY34" s="94"/>
      <c r="BZ34" s="189"/>
      <c r="CA34" s="100"/>
      <c r="CB34" s="94"/>
      <c r="CC34" s="101"/>
      <c r="CD34" s="94"/>
      <c r="CE34" s="101"/>
      <c r="CF34" s="94"/>
      <c r="CG34" s="189"/>
      <c r="CH34" s="102"/>
      <c r="CI34" s="94"/>
      <c r="CJ34" s="101"/>
      <c r="CK34" s="94"/>
      <c r="CL34" s="101"/>
      <c r="CM34" s="94"/>
      <c r="CN34" s="189"/>
      <c r="CO34" s="102"/>
      <c r="CP34" s="94"/>
      <c r="CQ34" s="101"/>
      <c r="CR34" s="94"/>
      <c r="CS34" s="101"/>
      <c r="CT34" s="94"/>
      <c r="CU34" s="189"/>
      <c r="CV34" s="102"/>
    </row>
    <row r="35" spans="2:100" ht="14.5">
      <c r="B35" s="34"/>
      <c r="C35" s="3"/>
      <c r="D35" s="27"/>
      <c r="E35" s="3"/>
      <c r="F35" s="31"/>
      <c r="G35" s="4"/>
      <c r="H35" s="4"/>
      <c r="I35" s="3"/>
      <c r="J35" s="5"/>
      <c r="K35" s="57"/>
      <c r="L35" s="54"/>
      <c r="M35" s="47"/>
      <c r="N35" s="62"/>
      <c r="O35" s="47"/>
      <c r="P35" s="119"/>
      <c r="Q35" s="1"/>
      <c r="S35" s="66">
        <v>1</v>
      </c>
      <c r="W35" s="75"/>
      <c r="X35" s="76"/>
      <c r="Y35" s="77"/>
      <c r="Z35" s="76"/>
      <c r="AA35" s="77"/>
      <c r="AB35" s="77"/>
      <c r="AC35" s="77"/>
      <c r="AD35" s="83"/>
      <c r="AE35" s="77"/>
      <c r="AF35" s="77"/>
      <c r="AG35" s="77"/>
      <c r="AH35" s="77"/>
      <c r="AI35" s="79"/>
      <c r="AJ35" s="194"/>
      <c r="AK35" s="80"/>
      <c r="AL35" s="75"/>
      <c r="AM35" s="77"/>
      <c r="AN35" s="77"/>
      <c r="AO35" s="77"/>
      <c r="AP35" s="79"/>
      <c r="AQ35" s="79"/>
      <c r="AR35" s="80"/>
      <c r="AS35" s="75"/>
      <c r="AT35" s="77"/>
      <c r="AU35" s="77"/>
      <c r="AV35" s="77"/>
      <c r="AW35" s="79"/>
      <c r="AX35" s="79"/>
      <c r="AY35" s="80"/>
      <c r="AZ35" s="75"/>
      <c r="BA35" s="77"/>
      <c r="BB35" s="77"/>
      <c r="BC35" s="77"/>
      <c r="BD35" s="79"/>
      <c r="BE35" s="79"/>
      <c r="BF35" s="80"/>
      <c r="BG35" s="75"/>
      <c r="BH35" s="77"/>
      <c r="BI35" s="77"/>
      <c r="BJ35" s="77"/>
      <c r="BK35" s="79"/>
      <c r="BL35" s="79"/>
      <c r="BM35" s="80"/>
      <c r="BN35" s="75"/>
      <c r="BO35" s="77"/>
      <c r="BP35" s="77"/>
      <c r="BQ35" s="77"/>
      <c r="BR35" s="79"/>
      <c r="BS35" s="79"/>
      <c r="BT35" s="80"/>
      <c r="BU35" s="75"/>
      <c r="BV35" s="77"/>
      <c r="BW35" s="77"/>
      <c r="BX35" s="77"/>
      <c r="BY35" s="77"/>
      <c r="BZ35" s="79"/>
      <c r="CA35" s="80"/>
      <c r="CB35" s="82"/>
      <c r="CC35" s="82"/>
      <c r="CD35" s="82"/>
      <c r="CE35" s="82"/>
      <c r="CF35" s="82"/>
      <c r="CG35" s="84"/>
      <c r="CH35" s="85"/>
      <c r="CI35" s="82"/>
      <c r="CJ35" s="82"/>
      <c r="CK35" s="82"/>
      <c r="CL35" s="82"/>
      <c r="CM35" s="82"/>
      <c r="CN35" s="84"/>
      <c r="CO35" s="85"/>
      <c r="CP35" s="82"/>
      <c r="CQ35" s="82"/>
      <c r="CR35" s="82"/>
      <c r="CS35" s="82"/>
      <c r="CT35" s="82"/>
      <c r="CU35" s="84"/>
      <c r="CV35" s="85"/>
    </row>
    <row r="36" spans="2:100" ht="14.5">
      <c r="B36" s="34"/>
      <c r="C36" s="3"/>
      <c r="D36" s="27"/>
      <c r="E36" s="3"/>
      <c r="F36" s="31"/>
      <c r="G36" s="4"/>
      <c r="H36" s="4"/>
      <c r="I36" s="3"/>
      <c r="J36" s="5"/>
      <c r="K36" s="57"/>
      <c r="L36" s="54"/>
      <c r="M36" s="47"/>
      <c r="N36" s="62"/>
      <c r="O36" s="47"/>
      <c r="P36" s="119"/>
      <c r="Q36" s="1"/>
      <c r="S36" s="66">
        <v>1</v>
      </c>
      <c r="W36" s="81"/>
      <c r="X36" s="82"/>
      <c r="Y36" s="82"/>
      <c r="Z36" s="82"/>
      <c r="AA36" s="82"/>
      <c r="AB36" s="82"/>
      <c r="AC36" s="82"/>
      <c r="AD36" s="83"/>
      <c r="AE36" s="82"/>
      <c r="AF36" s="82"/>
      <c r="AG36" s="82"/>
      <c r="AH36" s="82"/>
      <c r="AI36" s="84"/>
      <c r="AJ36" s="195"/>
      <c r="AK36" s="85"/>
      <c r="AL36" s="81"/>
      <c r="AM36" s="82"/>
      <c r="AN36" s="82"/>
      <c r="AO36" s="82"/>
      <c r="AP36" s="84"/>
      <c r="AQ36" s="84"/>
      <c r="AR36" s="85"/>
      <c r="AS36" s="81"/>
      <c r="AT36" s="82"/>
      <c r="AU36" s="82"/>
      <c r="AV36" s="82"/>
      <c r="AW36" s="84"/>
      <c r="AX36" s="84"/>
      <c r="AY36" s="85"/>
      <c r="AZ36" s="81"/>
      <c r="BA36" s="82"/>
      <c r="BB36" s="82"/>
      <c r="BC36" s="82"/>
      <c r="BD36" s="84"/>
      <c r="BE36" s="84"/>
      <c r="BF36" s="85"/>
      <c r="BG36" s="81"/>
      <c r="BH36" s="82"/>
      <c r="BI36" s="82"/>
      <c r="BJ36" s="82"/>
      <c r="BK36" s="84"/>
      <c r="BL36" s="84"/>
      <c r="BM36" s="85"/>
      <c r="BN36" s="81"/>
      <c r="BO36" s="82"/>
      <c r="BP36" s="82"/>
      <c r="BQ36" s="82"/>
      <c r="BR36" s="84"/>
      <c r="BS36" s="84"/>
      <c r="BT36" s="85"/>
      <c r="BU36" s="81"/>
      <c r="BV36" s="82"/>
      <c r="BW36" s="82"/>
      <c r="BX36" s="82"/>
      <c r="BY36" s="82"/>
      <c r="BZ36" s="84"/>
      <c r="CA36" s="85"/>
      <c r="CB36" s="82"/>
      <c r="CC36" s="82"/>
      <c r="CD36" s="82"/>
      <c r="CE36" s="82"/>
      <c r="CF36" s="82"/>
      <c r="CG36" s="84"/>
      <c r="CH36" s="85"/>
      <c r="CI36" s="82"/>
      <c r="CJ36" s="82"/>
      <c r="CK36" s="82"/>
      <c r="CL36" s="82"/>
      <c r="CM36" s="82"/>
      <c r="CN36" s="84"/>
      <c r="CO36" s="85"/>
      <c r="CP36" s="82"/>
      <c r="CQ36" s="82"/>
      <c r="CR36" s="82"/>
      <c r="CS36" s="82"/>
      <c r="CT36" s="82"/>
      <c r="CU36" s="84"/>
      <c r="CV36" s="85"/>
    </row>
    <row r="37" spans="2:100" ht="14.5">
      <c r="B37" s="34"/>
      <c r="C37" s="3"/>
      <c r="D37" s="27"/>
      <c r="E37" s="3"/>
      <c r="F37" s="31"/>
      <c r="G37" s="4"/>
      <c r="H37" s="4"/>
      <c r="I37" s="3"/>
      <c r="J37" s="5"/>
      <c r="K37" s="57"/>
      <c r="L37" s="54"/>
      <c r="M37" s="47"/>
      <c r="N37" s="62"/>
      <c r="O37" s="47"/>
      <c r="P37" s="119"/>
      <c r="Q37" s="1"/>
      <c r="S37" s="66">
        <v>1</v>
      </c>
      <c r="W37" s="81"/>
      <c r="X37" s="76"/>
      <c r="Y37" s="82"/>
      <c r="Z37" s="76"/>
      <c r="AA37" s="82"/>
      <c r="AB37" s="82"/>
      <c r="AC37" s="82"/>
      <c r="AD37" s="83"/>
      <c r="AE37" s="82"/>
      <c r="AF37" s="82"/>
      <c r="AG37" s="84"/>
      <c r="AH37" s="82"/>
      <c r="AI37" s="84"/>
      <c r="AJ37" s="195"/>
      <c r="AK37" s="85"/>
      <c r="AL37" s="81"/>
      <c r="AM37" s="82"/>
      <c r="AN37" s="82"/>
      <c r="AO37" s="82"/>
      <c r="AP37" s="84"/>
      <c r="AQ37" s="84"/>
      <c r="AR37" s="85"/>
      <c r="AS37" s="81"/>
      <c r="AT37" s="82"/>
      <c r="AU37" s="82"/>
      <c r="AV37" s="82"/>
      <c r="AW37" s="84"/>
      <c r="AX37" s="84"/>
      <c r="AY37" s="85"/>
      <c r="AZ37" s="81"/>
      <c r="BA37" s="82"/>
      <c r="BB37" s="82"/>
      <c r="BC37" s="82"/>
      <c r="BD37" s="84"/>
      <c r="BE37" s="84"/>
      <c r="BF37" s="85"/>
      <c r="BG37" s="81"/>
      <c r="BH37" s="82"/>
      <c r="BI37" s="82"/>
      <c r="BJ37" s="82"/>
      <c r="BK37" s="84"/>
      <c r="BL37" s="84"/>
      <c r="BM37" s="85"/>
      <c r="BN37" s="81"/>
      <c r="BO37" s="82"/>
      <c r="BP37" s="82"/>
      <c r="BQ37" s="82"/>
      <c r="BR37" s="84"/>
      <c r="BS37" s="84"/>
      <c r="BT37" s="85"/>
      <c r="BU37" s="81"/>
      <c r="BV37" s="82"/>
      <c r="BW37" s="82"/>
      <c r="BX37" s="82"/>
      <c r="BY37" s="82"/>
      <c r="BZ37" s="84"/>
      <c r="CA37" s="85"/>
      <c r="CB37" s="82"/>
      <c r="CC37" s="82"/>
      <c r="CD37" s="82"/>
      <c r="CE37" s="82"/>
      <c r="CF37" s="82"/>
      <c r="CG37" s="84"/>
      <c r="CH37" s="85"/>
      <c r="CI37" s="82"/>
      <c r="CJ37" s="82"/>
      <c r="CK37" s="82"/>
      <c r="CL37" s="82"/>
      <c r="CM37" s="82"/>
      <c r="CN37" s="84"/>
      <c r="CO37" s="85"/>
      <c r="CP37" s="82"/>
      <c r="CQ37" s="82"/>
      <c r="CR37" s="82"/>
      <c r="CS37" s="82"/>
      <c r="CT37" s="82"/>
      <c r="CU37" s="84"/>
      <c r="CV37" s="85"/>
    </row>
    <row r="38" spans="2:100" ht="14.5">
      <c r="B38" s="34"/>
      <c r="C38" s="3"/>
      <c r="D38" s="27"/>
      <c r="E38" s="3"/>
      <c r="F38" s="31"/>
      <c r="G38" s="4"/>
      <c r="H38" s="4"/>
      <c r="I38" s="3"/>
      <c r="J38" s="5"/>
      <c r="K38" s="57"/>
      <c r="L38" s="54"/>
      <c r="M38" s="47"/>
      <c r="N38" s="62"/>
      <c r="O38" s="47"/>
      <c r="P38" s="119"/>
      <c r="Q38" s="1"/>
      <c r="S38" s="66">
        <v>1</v>
      </c>
      <c r="W38" s="81"/>
      <c r="X38" s="82"/>
      <c r="Y38" s="82"/>
      <c r="Z38" s="82"/>
      <c r="AA38" s="82"/>
      <c r="AB38" s="82"/>
      <c r="AC38" s="82"/>
      <c r="AD38" s="83"/>
      <c r="AE38" s="82"/>
      <c r="AF38" s="82"/>
      <c r="AG38" s="84"/>
      <c r="AH38" s="82"/>
      <c r="AI38" s="84"/>
      <c r="AJ38" s="195"/>
      <c r="AK38" s="85"/>
      <c r="AL38" s="81"/>
      <c r="AM38" s="82"/>
      <c r="AN38" s="82"/>
      <c r="AO38" s="82"/>
      <c r="AP38" s="84"/>
      <c r="AQ38" s="84"/>
      <c r="AR38" s="85"/>
      <c r="AS38" s="81"/>
      <c r="AT38" s="82"/>
      <c r="AU38" s="82"/>
      <c r="AV38" s="82"/>
      <c r="AW38" s="84"/>
      <c r="AX38" s="84"/>
      <c r="AY38" s="85"/>
      <c r="AZ38" s="81"/>
      <c r="BA38" s="82"/>
      <c r="BB38" s="82"/>
      <c r="BC38" s="82"/>
      <c r="BD38" s="84"/>
      <c r="BE38" s="84"/>
      <c r="BF38" s="85"/>
      <c r="BG38" s="81"/>
      <c r="BH38" s="82"/>
      <c r="BI38" s="82"/>
      <c r="BJ38" s="82"/>
      <c r="BK38" s="84"/>
      <c r="BL38" s="84"/>
      <c r="BM38" s="85"/>
      <c r="BN38" s="81"/>
      <c r="BO38" s="82"/>
      <c r="BP38" s="82"/>
      <c r="BQ38" s="82"/>
      <c r="BR38" s="84"/>
      <c r="BS38" s="84"/>
      <c r="BT38" s="85"/>
      <c r="BU38" s="81"/>
      <c r="BV38" s="82"/>
      <c r="BW38" s="82"/>
      <c r="BX38" s="82"/>
      <c r="BY38" s="82"/>
      <c r="BZ38" s="84"/>
      <c r="CA38" s="85"/>
      <c r="CB38" s="82"/>
      <c r="CC38" s="82"/>
      <c r="CD38" s="82"/>
      <c r="CE38" s="82"/>
      <c r="CF38" s="82"/>
      <c r="CG38" s="84"/>
      <c r="CH38" s="85"/>
      <c r="CI38" s="82"/>
      <c r="CJ38" s="82"/>
      <c r="CK38" s="82"/>
      <c r="CL38" s="82"/>
      <c r="CM38" s="82"/>
      <c r="CN38" s="84"/>
      <c r="CO38" s="85"/>
      <c r="CP38" s="82"/>
      <c r="CQ38" s="82"/>
      <c r="CR38" s="82"/>
      <c r="CS38" s="82"/>
      <c r="CT38" s="82"/>
      <c r="CU38" s="84"/>
      <c r="CV38" s="85"/>
    </row>
    <row r="39" spans="2:100" ht="14.5">
      <c r="B39" s="36"/>
      <c r="C39" s="37"/>
      <c r="D39" s="38"/>
      <c r="E39" s="37"/>
      <c r="F39" s="40"/>
      <c r="G39" s="38"/>
      <c r="H39" s="39"/>
      <c r="I39" s="37"/>
      <c r="J39" s="41"/>
      <c r="K39" s="58"/>
      <c r="L39" s="55"/>
      <c r="M39" s="47"/>
      <c r="N39" s="63"/>
      <c r="O39" s="129"/>
      <c r="P39" s="130"/>
      <c r="Q39" s="1"/>
      <c r="S39" s="66">
        <v>1</v>
      </c>
      <c r="W39" s="86"/>
      <c r="X39" s="87"/>
      <c r="Y39" s="88"/>
      <c r="Z39" s="87"/>
      <c r="AA39" s="88"/>
      <c r="AB39" s="88"/>
      <c r="AC39" s="88"/>
      <c r="AD39" s="89"/>
      <c r="AE39" s="86"/>
      <c r="AF39" s="90"/>
      <c r="AG39" s="91"/>
      <c r="AH39" s="90"/>
      <c r="AI39" s="91"/>
      <c r="AJ39" s="196"/>
      <c r="AK39" s="92"/>
      <c r="AL39" s="86"/>
      <c r="AM39" s="90"/>
      <c r="AN39" s="88"/>
      <c r="AO39" s="90"/>
      <c r="AP39" s="91"/>
      <c r="AQ39" s="91"/>
      <c r="AR39" s="92"/>
      <c r="AS39" s="86"/>
      <c r="AT39" s="90"/>
      <c r="AU39" s="88"/>
      <c r="AV39" s="90"/>
      <c r="AW39" s="91"/>
      <c r="AX39" s="91"/>
      <c r="AY39" s="92"/>
      <c r="AZ39" s="86"/>
      <c r="BA39" s="90"/>
      <c r="BB39" s="88"/>
      <c r="BC39" s="90"/>
      <c r="BD39" s="91"/>
      <c r="BE39" s="91"/>
      <c r="BF39" s="92"/>
      <c r="BG39" s="86"/>
      <c r="BH39" s="90"/>
      <c r="BI39" s="88"/>
      <c r="BJ39" s="90"/>
      <c r="BK39" s="91"/>
      <c r="BL39" s="91"/>
      <c r="BM39" s="92"/>
      <c r="BN39" s="86"/>
      <c r="BO39" s="90"/>
      <c r="BP39" s="88"/>
      <c r="BQ39" s="90"/>
      <c r="BR39" s="91"/>
      <c r="BS39" s="91"/>
      <c r="BT39" s="92"/>
      <c r="BU39" s="86"/>
      <c r="BV39" s="90"/>
      <c r="BW39" s="88"/>
      <c r="BX39" s="90"/>
      <c r="BY39" s="88"/>
      <c r="BZ39" s="91"/>
      <c r="CA39" s="92"/>
      <c r="CB39" s="88"/>
      <c r="CC39" s="90"/>
      <c r="CD39" s="88"/>
      <c r="CE39" s="90"/>
      <c r="CF39" s="88"/>
      <c r="CG39" s="91"/>
      <c r="CH39" s="92"/>
      <c r="CI39" s="88"/>
      <c r="CJ39" s="90"/>
      <c r="CK39" s="88"/>
      <c r="CL39" s="90"/>
      <c r="CM39" s="88"/>
      <c r="CN39" s="91"/>
      <c r="CO39" s="92"/>
      <c r="CP39" s="88"/>
      <c r="CQ39" s="90"/>
      <c r="CR39" s="88"/>
      <c r="CS39" s="90"/>
      <c r="CT39" s="88"/>
      <c r="CU39" s="91"/>
      <c r="CV39" s="92"/>
    </row>
    <row r="40" spans="2:100" ht="14.5">
      <c r="B40" s="260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2"/>
      <c r="Q40" s="1"/>
      <c r="S40" s="53" t="s">
        <v>6</v>
      </c>
      <c r="W40" s="94"/>
      <c r="X40" s="103"/>
      <c r="Y40" s="94"/>
      <c r="Z40" s="103"/>
      <c r="AA40" s="94"/>
      <c r="AB40" s="96"/>
      <c r="AC40" s="104"/>
      <c r="AD40" s="98"/>
      <c r="AE40" s="105"/>
      <c r="AF40" s="106"/>
      <c r="AG40" s="105"/>
      <c r="AH40" s="106"/>
      <c r="AI40" s="105"/>
      <c r="AJ40" s="193"/>
      <c r="AK40" s="107"/>
      <c r="AL40" s="94"/>
      <c r="AM40" s="101"/>
      <c r="AN40" s="94"/>
      <c r="AO40" s="101"/>
      <c r="AP40" s="94"/>
      <c r="AQ40" s="189"/>
      <c r="AR40" s="107"/>
      <c r="AS40" s="94"/>
      <c r="AT40" s="101"/>
      <c r="AU40" s="94"/>
      <c r="AV40" s="101"/>
      <c r="AW40" s="94"/>
      <c r="AX40" s="189"/>
      <c r="AY40" s="107"/>
      <c r="AZ40" s="94"/>
      <c r="BA40" s="101"/>
      <c r="BB40" s="94"/>
      <c r="BC40" s="101"/>
      <c r="BD40" s="94"/>
      <c r="BE40" s="189"/>
      <c r="BF40" s="107"/>
      <c r="BG40" s="94"/>
      <c r="BH40" s="101"/>
      <c r="BI40" s="94"/>
      <c r="BJ40" s="101"/>
      <c r="BK40" s="94"/>
      <c r="BL40" s="189"/>
      <c r="BM40" s="107"/>
      <c r="BN40" s="94"/>
      <c r="BO40" s="101"/>
      <c r="BP40" s="94"/>
      <c r="BQ40" s="101"/>
      <c r="BR40" s="94"/>
      <c r="BS40" s="189"/>
      <c r="BT40" s="107"/>
      <c r="BU40" s="94"/>
      <c r="BV40" s="101"/>
      <c r="BW40" s="94"/>
      <c r="BX40" s="101"/>
      <c r="BY40" s="94"/>
      <c r="BZ40" s="189"/>
      <c r="CA40" s="107"/>
      <c r="CB40" s="94"/>
      <c r="CC40" s="101"/>
      <c r="CD40" s="94"/>
      <c r="CE40" s="101"/>
      <c r="CF40" s="94"/>
      <c r="CG40" s="189"/>
      <c r="CH40" s="108"/>
      <c r="CI40" s="94"/>
      <c r="CJ40" s="101"/>
      <c r="CK40" s="94"/>
      <c r="CL40" s="101"/>
      <c r="CM40" s="94"/>
      <c r="CN40" s="189"/>
      <c r="CO40" s="108"/>
      <c r="CP40" s="94"/>
      <c r="CQ40" s="101"/>
      <c r="CR40" s="94"/>
      <c r="CS40" s="101"/>
      <c r="CT40" s="94"/>
      <c r="CU40" s="189"/>
      <c r="CV40" s="108"/>
    </row>
    <row r="41" spans="2:100" ht="14.5">
      <c r="B41" s="34"/>
      <c r="C41" s="3"/>
      <c r="D41" s="27"/>
      <c r="E41" s="3"/>
      <c r="F41" s="31"/>
      <c r="G41" s="4"/>
      <c r="H41" s="4"/>
      <c r="I41" s="3"/>
      <c r="J41" s="5"/>
      <c r="K41" s="57"/>
      <c r="L41" s="54"/>
      <c r="M41" s="47"/>
      <c r="N41" s="62"/>
      <c r="O41" s="47"/>
      <c r="P41" s="119"/>
      <c r="Q41" s="1"/>
      <c r="S41" s="66">
        <v>1</v>
      </c>
      <c r="W41" s="75"/>
      <c r="X41" s="76"/>
      <c r="Y41" s="77"/>
      <c r="Z41" s="76"/>
      <c r="AA41" s="77"/>
      <c r="AB41" s="77"/>
      <c r="AC41" s="77"/>
      <c r="AD41" s="83"/>
      <c r="AE41" s="75"/>
      <c r="AF41" s="77"/>
      <c r="AG41" s="77"/>
      <c r="AH41" s="77"/>
      <c r="AI41" s="194"/>
      <c r="AJ41" s="194"/>
      <c r="AK41" s="194"/>
      <c r="AL41" s="75"/>
      <c r="AM41" s="77"/>
      <c r="AN41" s="77"/>
      <c r="AO41" s="77"/>
      <c r="AP41" s="79"/>
      <c r="AQ41" s="79"/>
      <c r="AR41" s="80"/>
      <c r="AS41" s="75"/>
      <c r="AT41" s="77"/>
      <c r="AU41" s="77"/>
      <c r="AV41" s="77"/>
      <c r="AW41" s="79"/>
      <c r="AX41" s="79"/>
      <c r="AY41" s="80"/>
      <c r="AZ41" s="75"/>
      <c r="BA41" s="77"/>
      <c r="BB41" s="77"/>
      <c r="BC41" s="77"/>
      <c r="BD41" s="79"/>
      <c r="BE41" s="79"/>
      <c r="BF41" s="80"/>
      <c r="BG41" s="75"/>
      <c r="BH41" s="77"/>
      <c r="BI41" s="77"/>
      <c r="BJ41" s="77"/>
      <c r="BK41" s="79"/>
      <c r="BL41" s="79"/>
      <c r="BM41" s="80"/>
      <c r="BN41" s="75"/>
      <c r="BO41" s="77"/>
      <c r="BP41" s="77"/>
      <c r="BQ41" s="77"/>
      <c r="BR41" s="79"/>
      <c r="BS41" s="79"/>
      <c r="BT41" s="80"/>
      <c r="BU41" s="75"/>
      <c r="BV41" s="77"/>
      <c r="BW41" s="77"/>
      <c r="BX41" s="77"/>
      <c r="BY41" s="79"/>
      <c r="BZ41" s="79"/>
      <c r="CA41" s="80"/>
      <c r="CB41" s="75"/>
      <c r="CC41" s="77"/>
      <c r="CD41" s="77"/>
      <c r="CE41" s="77"/>
      <c r="CF41" s="79"/>
      <c r="CG41" s="79"/>
      <c r="CH41" s="80"/>
      <c r="CI41" s="75"/>
      <c r="CJ41" s="77"/>
      <c r="CK41" s="77"/>
      <c r="CL41" s="77"/>
      <c r="CM41" s="79"/>
      <c r="CN41" s="79"/>
      <c r="CO41" s="80"/>
      <c r="CP41" s="75"/>
      <c r="CQ41" s="77"/>
      <c r="CR41" s="77"/>
      <c r="CS41" s="77"/>
      <c r="CT41" s="79"/>
      <c r="CU41" s="79"/>
      <c r="CV41" s="80"/>
    </row>
    <row r="42" spans="2:100" ht="14.5">
      <c r="B42" s="34"/>
      <c r="C42" s="3"/>
      <c r="D42" s="27"/>
      <c r="E42" s="3"/>
      <c r="F42" s="31"/>
      <c r="G42" s="4"/>
      <c r="H42" s="4"/>
      <c r="I42" s="3"/>
      <c r="J42" s="5"/>
      <c r="K42" s="57"/>
      <c r="L42" s="54"/>
      <c r="M42" s="47"/>
      <c r="N42" s="62"/>
      <c r="O42" s="47"/>
      <c r="P42" s="119"/>
      <c r="Q42" s="1"/>
      <c r="S42" s="66">
        <v>1</v>
      </c>
      <c r="W42" s="81"/>
      <c r="X42" s="82"/>
      <c r="Y42" s="82"/>
      <c r="Z42" s="82"/>
      <c r="AA42" s="82"/>
      <c r="AB42" s="82"/>
      <c r="AC42" s="82"/>
      <c r="AD42" s="83"/>
      <c r="AE42" s="81"/>
      <c r="AF42" s="82"/>
      <c r="AG42" s="82"/>
      <c r="AH42" s="82"/>
      <c r="AI42" s="194"/>
      <c r="AJ42" s="194"/>
      <c r="AK42" s="194"/>
      <c r="AL42" s="81"/>
      <c r="AM42" s="82"/>
      <c r="AN42" s="82"/>
      <c r="AO42" s="82"/>
      <c r="AP42" s="84"/>
      <c r="AQ42" s="84"/>
      <c r="AR42" s="85"/>
      <c r="AS42" s="81"/>
      <c r="AT42" s="82"/>
      <c r="AU42" s="82"/>
      <c r="AV42" s="82"/>
      <c r="AW42" s="84"/>
      <c r="AX42" s="84"/>
      <c r="AY42" s="85"/>
      <c r="AZ42" s="81"/>
      <c r="BA42" s="82"/>
      <c r="BB42" s="82"/>
      <c r="BC42" s="82"/>
      <c r="BD42" s="84"/>
      <c r="BE42" s="84"/>
      <c r="BF42" s="85"/>
      <c r="BG42" s="81"/>
      <c r="BH42" s="82"/>
      <c r="BI42" s="82"/>
      <c r="BJ42" s="82"/>
      <c r="BK42" s="84"/>
      <c r="BL42" s="84"/>
      <c r="BM42" s="85"/>
      <c r="BN42" s="81"/>
      <c r="BO42" s="82"/>
      <c r="BP42" s="82"/>
      <c r="BQ42" s="82"/>
      <c r="BR42" s="84"/>
      <c r="BS42" s="84"/>
      <c r="BT42" s="85"/>
      <c r="BU42" s="81"/>
      <c r="BV42" s="82"/>
      <c r="BW42" s="82"/>
      <c r="BX42" s="82"/>
      <c r="BY42" s="84"/>
      <c r="BZ42" s="84"/>
      <c r="CA42" s="85"/>
      <c r="CB42" s="81"/>
      <c r="CC42" s="82"/>
      <c r="CD42" s="82"/>
      <c r="CE42" s="82"/>
      <c r="CF42" s="84"/>
      <c r="CG42" s="84"/>
      <c r="CH42" s="85"/>
      <c r="CI42" s="81"/>
      <c r="CJ42" s="82"/>
      <c r="CK42" s="82"/>
      <c r="CL42" s="82"/>
      <c r="CM42" s="84"/>
      <c r="CN42" s="84"/>
      <c r="CO42" s="85"/>
      <c r="CP42" s="81"/>
      <c r="CQ42" s="82"/>
      <c r="CR42" s="82"/>
      <c r="CS42" s="82"/>
      <c r="CT42" s="84"/>
      <c r="CU42" s="84"/>
      <c r="CV42" s="85"/>
    </row>
    <row r="43" spans="2:100" ht="14.5">
      <c r="B43" s="34"/>
      <c r="C43" s="3"/>
      <c r="D43" s="27"/>
      <c r="E43" s="3"/>
      <c r="F43" s="31"/>
      <c r="G43" s="4"/>
      <c r="H43" s="4"/>
      <c r="I43" s="3"/>
      <c r="J43" s="5"/>
      <c r="K43" s="57"/>
      <c r="L43" s="54"/>
      <c r="M43" s="47"/>
      <c r="N43" s="62"/>
      <c r="O43" s="47"/>
      <c r="P43" s="119"/>
      <c r="Q43" s="1"/>
      <c r="S43" s="66">
        <v>1</v>
      </c>
      <c r="W43" s="81"/>
      <c r="X43" s="76"/>
      <c r="Y43" s="82"/>
      <c r="Z43" s="76"/>
      <c r="AA43" s="82"/>
      <c r="AB43" s="82"/>
      <c r="AC43" s="82"/>
      <c r="AD43" s="83"/>
      <c r="AE43" s="81"/>
      <c r="AF43" s="82"/>
      <c r="AG43" s="84"/>
      <c r="AH43" s="82"/>
      <c r="AI43" s="194"/>
      <c r="AJ43" s="194"/>
      <c r="AK43" s="194"/>
      <c r="AL43" s="81"/>
      <c r="AM43" s="82"/>
      <c r="AN43" s="82"/>
      <c r="AO43" s="82"/>
      <c r="AP43" s="84"/>
      <c r="AQ43" s="84"/>
      <c r="AR43" s="85"/>
      <c r="AS43" s="81"/>
      <c r="AT43" s="82"/>
      <c r="AU43" s="82"/>
      <c r="AV43" s="82"/>
      <c r="AW43" s="84"/>
      <c r="AX43" s="84"/>
      <c r="AY43" s="85"/>
      <c r="AZ43" s="81"/>
      <c r="BA43" s="82"/>
      <c r="BB43" s="82"/>
      <c r="BC43" s="82"/>
      <c r="BD43" s="84"/>
      <c r="BE43" s="84"/>
      <c r="BF43" s="85"/>
      <c r="BG43" s="81"/>
      <c r="BH43" s="82"/>
      <c r="BI43" s="82"/>
      <c r="BJ43" s="82"/>
      <c r="BK43" s="84"/>
      <c r="BL43" s="84"/>
      <c r="BM43" s="85"/>
      <c r="BN43" s="81"/>
      <c r="BO43" s="82"/>
      <c r="BP43" s="82"/>
      <c r="BQ43" s="82"/>
      <c r="BR43" s="84"/>
      <c r="BS43" s="84"/>
      <c r="BT43" s="85"/>
      <c r="BU43" s="81"/>
      <c r="BV43" s="82"/>
      <c r="BW43" s="82"/>
      <c r="BX43" s="82"/>
      <c r="BY43" s="84"/>
      <c r="BZ43" s="84"/>
      <c r="CA43" s="85"/>
      <c r="CB43" s="81"/>
      <c r="CC43" s="82"/>
      <c r="CD43" s="82"/>
      <c r="CE43" s="82"/>
      <c r="CF43" s="84"/>
      <c r="CG43" s="84"/>
      <c r="CH43" s="85"/>
      <c r="CI43" s="81"/>
      <c r="CJ43" s="82"/>
      <c r="CK43" s="82"/>
      <c r="CL43" s="82"/>
      <c r="CM43" s="84"/>
      <c r="CN43" s="84"/>
      <c r="CO43" s="85"/>
      <c r="CP43" s="81"/>
      <c r="CQ43" s="82"/>
      <c r="CR43" s="82"/>
      <c r="CS43" s="82"/>
      <c r="CT43" s="84"/>
      <c r="CU43" s="84"/>
      <c r="CV43" s="85"/>
    </row>
    <row r="44" spans="2:100" ht="14.5">
      <c r="B44" s="34"/>
      <c r="C44" s="3"/>
      <c r="D44" s="27"/>
      <c r="E44" s="3"/>
      <c r="F44" s="31"/>
      <c r="G44" s="4"/>
      <c r="H44" s="4"/>
      <c r="I44" s="3"/>
      <c r="J44" s="5"/>
      <c r="K44" s="57"/>
      <c r="L44" s="54"/>
      <c r="M44" s="47"/>
      <c r="N44" s="62"/>
      <c r="O44" s="47"/>
      <c r="P44" s="119"/>
      <c r="Q44" s="1"/>
      <c r="S44" s="66">
        <v>1</v>
      </c>
      <c r="W44" s="81"/>
      <c r="X44" s="82"/>
      <c r="Y44" s="82"/>
      <c r="Z44" s="82"/>
      <c r="AA44" s="82"/>
      <c r="AB44" s="82"/>
      <c r="AC44" s="82"/>
      <c r="AD44" s="83"/>
      <c r="AE44" s="81"/>
      <c r="AF44" s="82"/>
      <c r="AG44" s="84"/>
      <c r="AH44" s="191"/>
      <c r="AI44" s="194"/>
      <c r="AJ44" s="194"/>
      <c r="AK44" s="194"/>
      <c r="AL44" s="81"/>
      <c r="AM44" s="82"/>
      <c r="AN44" s="82"/>
      <c r="AO44" s="82"/>
      <c r="AP44" s="84"/>
      <c r="AQ44" s="84"/>
      <c r="AR44" s="85"/>
      <c r="AS44" s="81"/>
      <c r="AT44" s="82"/>
      <c r="AU44" s="82"/>
      <c r="AV44" s="82"/>
      <c r="AW44" s="84"/>
      <c r="AX44" s="84"/>
      <c r="AY44" s="85"/>
      <c r="AZ44" s="81"/>
      <c r="BA44" s="82"/>
      <c r="BB44" s="82"/>
      <c r="BC44" s="82"/>
      <c r="BD44" s="84"/>
      <c r="BE44" s="84"/>
      <c r="BF44" s="85"/>
      <c r="BG44" s="81"/>
      <c r="BH44" s="82"/>
      <c r="BI44" s="82"/>
      <c r="BJ44" s="82"/>
      <c r="BK44" s="84"/>
      <c r="BL44" s="84"/>
      <c r="BM44" s="85"/>
      <c r="BN44" s="81"/>
      <c r="BO44" s="82"/>
      <c r="BP44" s="82"/>
      <c r="BQ44" s="82"/>
      <c r="BR44" s="84"/>
      <c r="BS44" s="84"/>
      <c r="BT44" s="85"/>
      <c r="BU44" s="81"/>
      <c r="BV44" s="82"/>
      <c r="BW44" s="82"/>
      <c r="BX44" s="82"/>
      <c r="BY44" s="84"/>
      <c r="BZ44" s="84"/>
      <c r="CA44" s="85"/>
      <c r="CB44" s="81"/>
      <c r="CC44" s="82"/>
      <c r="CD44" s="82"/>
      <c r="CE44" s="82"/>
      <c r="CF44" s="84"/>
      <c r="CG44" s="84"/>
      <c r="CH44" s="85"/>
      <c r="CI44" s="81"/>
      <c r="CJ44" s="82"/>
      <c r="CK44" s="82"/>
      <c r="CL44" s="82"/>
      <c r="CM44" s="84"/>
      <c r="CN44" s="84"/>
      <c r="CO44" s="85"/>
      <c r="CP44" s="81"/>
      <c r="CQ44" s="82"/>
      <c r="CR44" s="82"/>
      <c r="CS44" s="82"/>
      <c r="CT44" s="84"/>
      <c r="CU44" s="84"/>
      <c r="CV44" s="85"/>
    </row>
    <row r="45" spans="2:100" ht="14.5">
      <c r="B45" s="36"/>
      <c r="C45" s="37"/>
      <c r="D45" s="27"/>
      <c r="E45" s="37"/>
      <c r="F45" s="31"/>
      <c r="G45" s="38"/>
      <c r="H45" s="39"/>
      <c r="I45" s="37"/>
      <c r="J45" s="41"/>
      <c r="K45" s="58"/>
      <c r="L45" s="55"/>
      <c r="M45" s="47"/>
      <c r="N45" s="63"/>
      <c r="O45" s="129"/>
      <c r="P45" s="130"/>
      <c r="Q45" s="1"/>
      <c r="S45" s="66">
        <v>1</v>
      </c>
      <c r="W45" s="86"/>
      <c r="X45" s="87"/>
      <c r="Y45" s="88"/>
      <c r="Z45" s="87"/>
      <c r="AA45" s="88"/>
      <c r="AB45" s="88"/>
      <c r="AC45" s="88"/>
      <c r="AD45" s="89"/>
      <c r="AE45" s="86"/>
      <c r="AF45" s="90"/>
      <c r="AG45" s="91"/>
      <c r="AH45" s="90"/>
      <c r="AI45" s="194"/>
      <c r="AJ45" s="194"/>
      <c r="AK45" s="194"/>
      <c r="AL45" s="86"/>
      <c r="AM45" s="90"/>
      <c r="AN45" s="88"/>
      <c r="AO45" s="90"/>
      <c r="AP45" s="91"/>
      <c r="AQ45" s="91"/>
      <c r="AR45" s="92"/>
      <c r="AS45" s="86"/>
      <c r="AT45" s="90"/>
      <c r="AU45" s="88"/>
      <c r="AV45" s="90"/>
      <c r="AW45" s="91"/>
      <c r="AX45" s="91"/>
      <c r="AY45" s="92"/>
      <c r="AZ45" s="86"/>
      <c r="BA45" s="90"/>
      <c r="BB45" s="88"/>
      <c r="BC45" s="90"/>
      <c r="BD45" s="91"/>
      <c r="BE45" s="91"/>
      <c r="BF45" s="92"/>
      <c r="BG45" s="86"/>
      <c r="BH45" s="90"/>
      <c r="BI45" s="88"/>
      <c r="BJ45" s="90"/>
      <c r="BK45" s="91"/>
      <c r="BL45" s="91"/>
      <c r="BM45" s="92"/>
      <c r="BN45" s="86"/>
      <c r="BO45" s="90"/>
      <c r="BP45" s="88"/>
      <c r="BQ45" s="90"/>
      <c r="BR45" s="91"/>
      <c r="BS45" s="91"/>
      <c r="BT45" s="92"/>
      <c r="BU45" s="86"/>
      <c r="BV45" s="90"/>
      <c r="BW45" s="88"/>
      <c r="BX45" s="90"/>
      <c r="BY45" s="91"/>
      <c r="BZ45" s="91"/>
      <c r="CA45" s="92"/>
      <c r="CB45" s="86"/>
      <c r="CC45" s="90"/>
      <c r="CD45" s="88"/>
      <c r="CE45" s="90"/>
      <c r="CF45" s="91"/>
      <c r="CG45" s="91"/>
      <c r="CH45" s="92"/>
      <c r="CI45" s="86"/>
      <c r="CJ45" s="90"/>
      <c r="CK45" s="88"/>
      <c r="CL45" s="90"/>
      <c r="CM45" s="91"/>
      <c r="CN45" s="91"/>
      <c r="CO45" s="92"/>
      <c r="CP45" s="86"/>
      <c r="CQ45" s="90"/>
      <c r="CR45" s="88"/>
      <c r="CS45" s="90"/>
      <c r="CT45" s="91"/>
      <c r="CU45" s="91"/>
      <c r="CV45" s="92"/>
    </row>
    <row r="46" spans="2:100" ht="9.4" customHeight="1">
      <c r="B46" s="6" t="str">
        <f>IF($S$7=1,NL!B40,IF(cal!$S$7=2,EN!B40,IF(cal!$S$7=3,DE!B40,IF(cal!$S$7=4,FR!B40,IF(cal!$S$7=5,NR!B40,IF(cal!$S$7=6,SP!B40,IF(cal!$S$7=7,SW!B40,IF(cal!$S$7=8,TS!B40,IF(cal!$S$7=9,ExtraTaal1!B40,IF(cal!$S$7=10,ExtraTaal2!B40,IF(cal!$S$7=11,ExtraTaal3!B40,)))))))))))</f>
        <v>*Sound power according to ISO 3741:2010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48"/>
      <c r="O46" s="46"/>
      <c r="P46" s="46" t="str">
        <f>Luchtverhitter!N27</f>
        <v>v2023-10-10</v>
      </c>
      <c r="Q46" s="1"/>
      <c r="W46" s="94"/>
      <c r="X46" s="103"/>
      <c r="Y46" s="94"/>
      <c r="Z46" s="103"/>
      <c r="AA46" s="94"/>
      <c r="AB46" s="96"/>
      <c r="AC46" s="104"/>
      <c r="AD46" s="98"/>
      <c r="AE46" s="105"/>
      <c r="AF46" s="106"/>
      <c r="AG46" s="105"/>
      <c r="AH46" s="106"/>
      <c r="AI46" s="105"/>
      <c r="AJ46" s="193"/>
      <c r="AK46" s="107"/>
      <c r="AL46" s="94"/>
      <c r="AM46" s="101"/>
      <c r="AN46" s="94"/>
      <c r="AO46" s="101"/>
      <c r="AP46" s="94"/>
      <c r="AQ46" s="189"/>
      <c r="AR46" s="107"/>
      <c r="AS46" s="105"/>
      <c r="AT46" s="106"/>
      <c r="AU46" s="105"/>
      <c r="AV46" s="106"/>
      <c r="AW46" s="105"/>
      <c r="AX46" s="190"/>
      <c r="AY46" s="107"/>
      <c r="AZ46" s="105"/>
      <c r="BA46" s="106"/>
      <c r="BB46" s="105"/>
      <c r="BC46" s="106"/>
      <c r="BD46" s="105"/>
      <c r="BE46" s="190"/>
      <c r="BF46" s="107"/>
      <c r="BG46" s="105"/>
      <c r="BH46" s="106"/>
      <c r="BI46" s="105"/>
      <c r="BJ46" s="106"/>
      <c r="BK46" s="105"/>
      <c r="BL46" s="190"/>
      <c r="BM46" s="107"/>
      <c r="BN46" s="105"/>
      <c r="BO46" s="106"/>
      <c r="BP46" s="105"/>
      <c r="BQ46" s="106"/>
      <c r="BR46" s="105"/>
      <c r="BS46" s="190"/>
      <c r="BT46" s="107"/>
      <c r="BU46" s="105"/>
      <c r="BV46" s="106"/>
      <c r="BW46" s="105"/>
      <c r="BX46" s="106"/>
      <c r="BY46" s="105"/>
      <c r="BZ46" s="190"/>
      <c r="CA46" s="107"/>
      <c r="CB46" s="105"/>
      <c r="CC46" s="106"/>
      <c r="CD46" s="105"/>
      <c r="CE46" s="106"/>
      <c r="CF46" s="105"/>
      <c r="CG46" s="190"/>
      <c r="CH46" s="107"/>
      <c r="CI46" s="105"/>
      <c r="CJ46" s="106"/>
      <c r="CK46" s="105"/>
      <c r="CL46" s="106"/>
      <c r="CM46" s="105"/>
      <c r="CN46" s="190"/>
      <c r="CO46" s="107"/>
      <c r="CP46" s="105"/>
      <c r="CQ46" s="106"/>
      <c r="CR46" s="105"/>
      <c r="CS46" s="106"/>
      <c r="CT46" s="105"/>
      <c r="CU46" s="190"/>
      <c r="CV46" s="107"/>
    </row>
    <row r="47" spans="2:100" ht="9.4" customHeight="1">
      <c r="B47" s="6" t="str">
        <f>IF($S$7=1,NL!B41,IF(cal!$S$7=2,EN!B41,IF(cal!$S$7=3,DE!B41,IF(cal!$S$7=4,FR!B41,IF(cal!$S$7=5,NR!B41,IF(cal!$S$7=6,SP!B41,IF(cal!$S$7=7,SW!B41,IF(cal!$S$7=8,TS!B41,IF(cal!$S$7=9,ExtraTaal1!B41,IF(cal!$S$7=10,ExtraTaal2!B41,IF(cal!$S$7=11,ExtraTaal3!B41,)))))))))))</f>
        <v>**Sound pressure with an assumed room damping of 16 dB(A)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00" ht="9" hidden="1" customHeight="1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ht="16.149999999999999" hidden="1" customHeight="1"/>
    <row r="50" ht="14.5" hidden="1"/>
    <row r="51" ht="14.5" hidden="1"/>
    <row r="52" ht="14.5" hidden="1"/>
    <row r="53" ht="14.5" hidden="1"/>
    <row r="54" ht="14.5" hidden="1"/>
    <row r="55" ht="14.5" hidden="1"/>
    <row r="56" ht="14.5" hidden="1"/>
  </sheetData>
  <sheetProtection selectLockedCells="1"/>
  <dataConsolidate link="1"/>
  <mergeCells count="27">
    <mergeCell ref="CI16:CO16"/>
    <mergeCell ref="CP16:CV16"/>
    <mergeCell ref="CB16:CH16"/>
    <mergeCell ref="W16:AC16"/>
    <mergeCell ref="AE16:AK16"/>
    <mergeCell ref="AL16:AR16"/>
    <mergeCell ref="AS16:AY16"/>
    <mergeCell ref="AZ16:BF16"/>
    <mergeCell ref="BG16:BM16"/>
    <mergeCell ref="BN16:BT16"/>
    <mergeCell ref="BU16:CA16"/>
    <mergeCell ref="C22:P22"/>
    <mergeCell ref="B40:P40"/>
    <mergeCell ref="B28:P28"/>
    <mergeCell ref="B34:P34"/>
    <mergeCell ref="G3:J3"/>
    <mergeCell ref="B9:D9"/>
    <mergeCell ref="G9:J9"/>
    <mergeCell ref="B10:D10"/>
    <mergeCell ref="G10:J10"/>
    <mergeCell ref="G5:J5"/>
    <mergeCell ref="M7:N7"/>
    <mergeCell ref="M8:N8"/>
    <mergeCell ref="B16:P16"/>
    <mergeCell ref="B11:D11"/>
    <mergeCell ref="G11:J11"/>
    <mergeCell ref="M9:N9"/>
  </mergeCells>
  <dataValidations disablePrompts="1" count="5">
    <dataValidation type="whole" errorStyle="information" allowBlank="1" error="Eingabe außerhalb des gültigen Bereichs." prompt="20°C bis 35°C" sqref="K11" xr:uid="{00000000-0002-0000-0100-000000000000}">
      <formula1>20</formula1>
      <formula2>35</formula2>
    </dataValidation>
    <dataValidation type="whole" errorStyle="information" allowBlank="1" error="Eingabe außerhalb des gültigen Bereichs." prompt="Eingabe zwischen Vorlauftemp. und Raumtemp." sqref="K10" xr:uid="{00000000-0002-0000-0100-000001000000}">
      <formula1>K9</formula1>
      <formula2>K11</formula2>
    </dataValidation>
    <dataValidation type="whole" errorStyle="information" allowBlank="1" prompt="Eingabe zwischen 5°C bis 20°C" sqref="K9" xr:uid="{00000000-0002-0000-0100-000002000000}">
      <formula1>5</formula1>
      <formula2>20</formula2>
    </dataValidation>
    <dataValidation type="decimal" errorStyle="information" allowBlank="1" prompt="20°C bis 35°C" sqref="K12" xr:uid="{00000000-0002-0000-0100-000003000000}">
      <formula1>0.3</formula1>
      <formula2>0.8</formula2>
    </dataValidation>
    <dataValidation allowBlank="1" showInputMessage="1" sqref="E9:E11" xr:uid="{00000000-0002-0000-0100-000004000000}"/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 xml:space="preserve">&amp;L
&amp;R
</oddHeader>
  </headerFooter>
  <ignoredErrors>
    <ignoredError sqref="S9 S10:S11 W9:W11 E11 M8 K9:K12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B1:T49"/>
  <sheetViews>
    <sheetView topLeftCell="B15" workbookViewId="0">
      <selection activeCell="B42" sqref="B4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11</v>
      </c>
      <c r="C3" s="22"/>
    </row>
    <row r="4" spans="2:20">
      <c r="B4" s="21"/>
      <c r="H4" s="281" t="s">
        <v>76</v>
      </c>
      <c r="I4" s="282">
        <v>0</v>
      </c>
      <c r="J4" s="282">
        <v>0</v>
      </c>
      <c r="K4" s="283">
        <v>0</v>
      </c>
    </row>
    <row r="5" spans="2:20">
      <c r="B5" s="28" t="s">
        <v>10</v>
      </c>
      <c r="H5" s="281" t="s">
        <v>77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199</v>
      </c>
    </row>
    <row r="8" spans="2:20">
      <c r="B8" s="134" t="s">
        <v>7</v>
      </c>
      <c r="C8" s="149"/>
      <c r="D8" s="149"/>
      <c r="E8" s="7"/>
      <c r="F8" s="7"/>
      <c r="G8" s="8" t="s">
        <v>8</v>
      </c>
      <c r="H8" s="8"/>
      <c r="I8" s="8"/>
      <c r="J8" s="7"/>
      <c r="K8" s="7"/>
      <c r="L8" s="7"/>
      <c r="M8" s="29"/>
      <c r="N8" s="13"/>
      <c r="O8" s="29"/>
      <c r="P8" s="13"/>
      <c r="Q8" s="1" t="s">
        <v>200</v>
      </c>
    </row>
    <row r="9" spans="2:20" ht="15" thickBot="1">
      <c r="B9" s="278" t="str">
        <f>"Water aanvoer"</f>
        <v>Water aanvoer</v>
      </c>
      <c r="C9" s="279"/>
      <c r="D9" s="280"/>
      <c r="E9" s="60">
        <f>cal!E9</f>
        <v>75</v>
      </c>
      <c r="F9" s="49"/>
      <c r="G9" s="265" t="str">
        <f>B9</f>
        <v>Water aanvoer</v>
      </c>
      <c r="H9" s="265"/>
      <c r="I9" s="265"/>
      <c r="J9" s="265"/>
      <c r="K9" s="60">
        <f>cal!K9</f>
        <v>16</v>
      </c>
      <c r="L9" s="7"/>
      <c r="M9" s="270" t="s">
        <v>91</v>
      </c>
      <c r="N9" s="271"/>
      <c r="O9" s="7"/>
      <c r="P9" s="13"/>
      <c r="Q9" s="1" t="s">
        <v>201</v>
      </c>
    </row>
    <row r="10" spans="2:20" ht="15" thickTop="1">
      <c r="B10" s="278" t="str">
        <f>"Water retour"</f>
        <v>Water retour</v>
      </c>
      <c r="C10" s="279"/>
      <c r="D10" s="280"/>
      <c r="E10" s="60">
        <f>cal!E10</f>
        <v>65</v>
      </c>
      <c r="F10" s="49"/>
      <c r="G10" s="265" t="str">
        <f>B10</f>
        <v>Water retour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78" t="str">
        <f>"Ruimte"</f>
        <v>Ruimte</v>
      </c>
      <c r="C11" s="279"/>
      <c r="D11" s="280"/>
      <c r="E11" s="60">
        <f>cal!E11</f>
        <v>20</v>
      </c>
      <c r="F11" s="49"/>
      <c r="G11" s="265" t="str">
        <f>B11</f>
        <v>Ruimte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56"/>
      <c r="C12" s="149"/>
      <c r="D12" s="149"/>
      <c r="E12" s="7"/>
      <c r="F12" s="7"/>
      <c r="G12" s="149" t="s">
        <v>97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167</v>
      </c>
      <c r="C15" s="19" t="s">
        <v>163</v>
      </c>
      <c r="D15" s="26" t="str">
        <f>CONCATENATE("Warmteafgifte  ",ROUND(E9,0),"/",ROUND(E10,0),"/",ROUND(E11,0)," ["&amp;IF(UnitsNo=1,"kW",IF(UnitsNo=2,"MBH"))&amp;"]")</f>
        <v>Warmteafgifte  75/65/20 [kW]</v>
      </c>
      <c r="E15" s="30" t="str">
        <f>"Waterdebiet, verwarming ["&amp;IF(UnitsNo=1,"l/h",IF(UnitsNo=2,"GPM"))&amp;"]"</f>
        <v>Waterdebiet, verwarming [l/h]</v>
      </c>
      <c r="F15" s="33" t="str">
        <f>"Waterzijdig drukverlies ["&amp;IF(UnitsNo=1,"kPa",IF(UnitsNo=2,"inH2O"))&amp;"]"</f>
        <v>Waterzijdig drukverlies [kPa]</v>
      </c>
      <c r="G15" s="19" t="str">
        <f>CONCATENATE("Voelb. Koelcapaciteit  ",ROUND(K9,0),"/",,ROUND(K10,0),"/",,ROUND(K11,0)," ["&amp;IF(UnitsNo=1,"W",IF(UnitsNo=2,"Btu/h"))&amp;"]")</f>
        <v>Voelb. Koelcapaciteit  16/18/27 [W]</v>
      </c>
      <c r="H15" s="19" t="str">
        <f>CONCATENATE("Tot. koelcapaciteit ",,ROUND(K9,0),"/",,ROUND(K10,0),"/",,ROUND(K11,0)," ["&amp;IF(UnitsNo=1,"W",IF(UnitsNo=2,"Btu/h"))&amp;"]")</f>
        <v>Tot. koelcapaciteit 16/18/27 [W]</v>
      </c>
      <c r="I15" s="19" t="str">
        <f>"Toerental ["&amp;IF(UnitsNo=1,"u/min",IF(UnitsNo=2,"RPM"))&amp;"]"</f>
        <v>Toerental [u/min]</v>
      </c>
      <c r="J15" s="20" t="str">
        <f>"Waterzijdig drukverlies ["&amp;IF(UnitsNo=1,"kPa",IF(UnitsNo=2,"inH2O"))&amp;"]"</f>
        <v>Waterzijdig drukverlies [kPa]</v>
      </c>
      <c r="K15" s="26" t="s">
        <v>43</v>
      </c>
      <c r="L15" s="32" t="s">
        <v>44</v>
      </c>
      <c r="M15" s="19" t="s">
        <v>9</v>
      </c>
      <c r="N15" s="25" t="str">
        <f>"Luchtdebiet ["&amp;IF(UnitsNo=1,"m³/h",IF(UnitsNo=2,"CFM"))&amp;"]"</f>
        <v>Luchtdebiet [m³/h]</v>
      </c>
      <c r="O15" s="19" t="str">
        <f>"Uitblaastemp. verwarming  ["&amp;IF(UnitsNo=1,"°C",IF(UnitsNo=2,"°F"))&amp;"]"</f>
        <v>Uitblaastemp. verwarming  [°C]</v>
      </c>
      <c r="P15" s="19" t="str">
        <f>"Uitblaastemp. koeling  ["&amp;IF(UnitsNo=1,"°C",IF(UnitsNo=2,"°F"))&amp;"]"</f>
        <v>Uitblaastemp. koeling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hoogte 41 cm breedte 41 cm lengte 43 cm (Type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98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80</v>
      </c>
      <c r="T17" s="144" t="s">
        <v>99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81</v>
      </c>
      <c r="T18" s="144" t="s">
        <v>100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hoogte 41 cm breedte 41 cm lengte 43 cm (Type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hoogte 0 cm breedte 0 cm lengte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hoogte 0 cm breedte 0 cm lengte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45</v>
      </c>
      <c r="M40" s="48"/>
      <c r="N40" s="46" t="str">
        <f>cal!P46</f>
        <v>v2023-10-10</v>
      </c>
      <c r="O40" s="48"/>
      <c r="P40" s="46"/>
    </row>
    <row r="41" spans="2:16" ht="9.4" customHeight="1">
      <c r="B41" s="6" t="s">
        <v>234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disablePrompts="1" count="7">
    <dataValidation type="decimal" errorStyle="information" allowBlank="1" showErrorMessage="1" error="Eingabe außerhalb des gültigen Bereichs." prompt="20°C bis 35°C" sqref="K12" xr:uid="{00000000-0002-0000-02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2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2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2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2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2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200-000006000000}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B1:T49"/>
  <sheetViews>
    <sheetView topLeftCell="A14" workbookViewId="0">
      <selection activeCell="B42" sqref="B4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81" t="s">
        <v>74</v>
      </c>
      <c r="I4" s="282">
        <v>0</v>
      </c>
      <c r="J4" s="282">
        <v>0</v>
      </c>
      <c r="K4" s="283">
        <v>0</v>
      </c>
    </row>
    <row r="5" spans="2:20">
      <c r="B5" s="28" t="s">
        <v>17</v>
      </c>
      <c r="H5" s="281" t="s">
        <v>75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196</v>
      </c>
    </row>
    <row r="8" spans="2:20">
      <c r="B8" s="134" t="s">
        <v>13</v>
      </c>
      <c r="C8" s="149"/>
      <c r="D8" s="149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197</v>
      </c>
    </row>
    <row r="9" spans="2:20" ht="15" thickBot="1">
      <c r="B9" s="278" t="s">
        <v>101</v>
      </c>
      <c r="C9" s="279"/>
      <c r="D9" s="279"/>
      <c r="E9" s="60">
        <f>cal!E9</f>
        <v>75</v>
      </c>
      <c r="F9" s="49"/>
      <c r="G9" s="265" t="str">
        <f>B9</f>
        <v>Supply water</v>
      </c>
      <c r="H9" s="265"/>
      <c r="I9" s="265"/>
      <c r="J9" s="265"/>
      <c r="K9" s="60">
        <f>cal!K9</f>
        <v>16</v>
      </c>
      <c r="L9" s="7"/>
      <c r="M9" s="270" t="s">
        <v>92</v>
      </c>
      <c r="N9" s="271"/>
      <c r="O9" s="7"/>
      <c r="P9" s="13"/>
      <c r="Q9" s="1" t="s">
        <v>198</v>
      </c>
    </row>
    <row r="10" spans="2:20" ht="15" thickTop="1">
      <c r="B10" s="278" t="s">
        <v>102</v>
      </c>
      <c r="C10" s="279"/>
      <c r="D10" s="279"/>
      <c r="E10" s="60">
        <f>cal!E10</f>
        <v>65</v>
      </c>
      <c r="F10" s="49"/>
      <c r="G10" s="265" t="str">
        <f>B10</f>
        <v>Return water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3" t="s">
        <v>103</v>
      </c>
      <c r="C11" s="184"/>
      <c r="D11" s="184"/>
      <c r="E11" s="60">
        <f>cal!E11</f>
        <v>20</v>
      </c>
      <c r="F11" s="49"/>
      <c r="G11" s="265" t="str">
        <f>B11</f>
        <v>Entering air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168</v>
      </c>
      <c r="C15" s="19" t="s">
        <v>15</v>
      </c>
      <c r="D15" s="26" t="str">
        <f>CONCATENATE("Heat output  ",ROUND(E9,0),"/",ROUND(E10,0),"/",ROUND(E11,0)," ["&amp;IF(cal!$W$4=1,"W",IF(cal!$W$4=2,"MBH"))&amp;"]")</f>
        <v>Heat output  75/65/20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"RPM ["&amp;IF(UnitsNo=1,"u/min",IF(UnitsNo=2,"RPM"))&amp;"]"</f>
        <v>RPM [u/min]</v>
      </c>
      <c r="J15" s="20" t="str">
        <f>"Watersided pressure loss ["&amp;IF(cal!$W$4=1,"kPa",IF(cal!$W$4=2,"inH2O"))&amp;"]"</f>
        <v>Watersided pressure loss [kPa]</v>
      </c>
      <c r="K15" s="26" t="s">
        <v>41</v>
      </c>
      <c r="L15" s="32" t="s">
        <v>42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height 41 cm width 41 cm length 43 cm (Type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105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82</v>
      </c>
      <c r="T17" s="144" t="s">
        <v>106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83</v>
      </c>
      <c r="T18" s="144" t="s">
        <v>107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height 41 cm width 41 cm length 43 cm (Type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height 0 cm width 0 cm length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height 0 cm width 0 cm length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46</v>
      </c>
      <c r="M40" s="48"/>
      <c r="N40" s="46" t="str">
        <f>cal!P46</f>
        <v>v2023-10-10</v>
      </c>
      <c r="O40" s="48"/>
      <c r="P40" s="46"/>
    </row>
    <row r="41" spans="2:16" ht="9.4" customHeight="1">
      <c r="B41" s="6" t="s">
        <v>236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G11:J11"/>
  </mergeCells>
  <dataValidations count="7">
    <dataValidation type="whole" errorStyle="information" allowBlank="1" showErrorMessage="1" error="Eingabe außerhalb des gültigen Bereichs." prompt="20°C bis 35°C" sqref="K11" xr:uid="{00000000-0002-0000-03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3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3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3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3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3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300-000006000000}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B1:T49"/>
  <sheetViews>
    <sheetView topLeftCell="A15" workbookViewId="0">
      <selection activeCell="B42" sqref="B4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</v>
      </c>
      <c r="C3" s="22"/>
    </row>
    <row r="4" spans="2:20">
      <c r="B4" s="21"/>
      <c r="H4" s="281" t="s">
        <v>72</v>
      </c>
      <c r="I4" s="282"/>
      <c r="J4" s="282"/>
      <c r="K4" s="283"/>
    </row>
    <row r="5" spans="2:20">
      <c r="B5" s="28" t="s">
        <v>3</v>
      </c>
      <c r="H5" s="281" t="s">
        <v>73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2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193</v>
      </c>
    </row>
    <row r="8" spans="2:20">
      <c r="B8" s="134" t="s">
        <v>0</v>
      </c>
      <c r="C8" s="149"/>
      <c r="D8" s="149"/>
      <c r="E8" s="7"/>
      <c r="F8" s="7"/>
      <c r="G8" s="8" t="s">
        <v>5</v>
      </c>
      <c r="H8" s="8"/>
      <c r="I8" s="8"/>
      <c r="J8" s="7"/>
      <c r="K8" s="7"/>
      <c r="L8" s="7"/>
      <c r="M8" s="29"/>
      <c r="N8" s="13"/>
      <c r="O8" s="29"/>
      <c r="P8" s="13"/>
      <c r="Q8" s="1" t="s">
        <v>194</v>
      </c>
    </row>
    <row r="9" spans="2:20" ht="15" thickBot="1">
      <c r="B9" s="278" t="str">
        <f>"Vorlauf wasser"</f>
        <v>Vorlauf wasser</v>
      </c>
      <c r="C9" s="279"/>
      <c r="D9" s="279"/>
      <c r="E9" s="60">
        <f>cal!E9</f>
        <v>75</v>
      </c>
      <c r="F9" s="49"/>
      <c r="G9" s="265" t="str">
        <f>B9</f>
        <v>Vorlauf wasser</v>
      </c>
      <c r="H9" s="265"/>
      <c r="I9" s="265"/>
      <c r="J9" s="265"/>
      <c r="K9" s="60">
        <f>cal!K9</f>
        <v>16</v>
      </c>
      <c r="L9" s="7"/>
      <c r="M9" s="270" t="s">
        <v>93</v>
      </c>
      <c r="N9" s="271"/>
      <c r="O9" s="7"/>
      <c r="P9" s="13"/>
      <c r="Q9" s="1" t="s">
        <v>195</v>
      </c>
    </row>
    <row r="10" spans="2:20" ht="15" thickTop="1">
      <c r="B10" s="278" t="str">
        <f>"Rücklauf wasser"</f>
        <v>Rücklauf wasser</v>
      </c>
      <c r="C10" s="279"/>
      <c r="D10" s="279"/>
      <c r="E10" s="60">
        <f>cal!E10</f>
        <v>65</v>
      </c>
      <c r="F10" s="49"/>
      <c r="G10" s="265" t="str">
        <f>B10</f>
        <v>Rücklauf wasser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78" t="str">
        <f>"Raum"</f>
        <v>Raum</v>
      </c>
      <c r="C11" s="279"/>
      <c r="D11" s="279"/>
      <c r="E11" s="60">
        <f>cal!E11</f>
        <v>20</v>
      </c>
      <c r="F11" s="49"/>
      <c r="G11" s="265" t="str">
        <f>B11</f>
        <v>Raum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166</v>
      </c>
      <c r="C15" s="19" t="s">
        <v>164</v>
      </c>
      <c r="D15" s="26" t="str">
        <f>CONCATENATE("Wärmeleistung  ",ROUND(E9,0),"/",ROUND(E10,0),"/",ROUND(E11,0)," ["&amp;IF(cal!$W$4=1,"W",IF(cal!$W$4=2,"MBH"))&amp;"]")</f>
        <v>Wärmeleistung  75/65/20 [W]</v>
      </c>
      <c r="E15" s="30" t="str">
        <f>"Heizmittelstrom ["&amp;IF(cal!$W$4=1,"l/h",IF(cal!$W$4=2,"GPM"))&amp;"]"</f>
        <v>Heizmittelstrom [l/h]</v>
      </c>
      <c r="F15" s="33" t="str">
        <f>"zug. wassers. Druckverlust ["&amp;IF(cal!$W$4=1,"kPa",IF(cal!$W$4=2,"inH2O"))&amp;"]"</f>
        <v>zug. wassers. Druckverlust [kPa]</v>
      </c>
      <c r="G15" s="19" t="str">
        <f>CONCATENATE("Sens. Kälteleistung  ",ROUND(K9,0),"/",ROUND(K10,0),"/",ROUND(K11,0)," ["&amp;IF(cal!$W$4=1,"W",IF(cal!$W$4=2,"Btu/h"))&amp;"]")</f>
        <v>Sens. Kälteleistung  16/18/27 [W]</v>
      </c>
      <c r="H15" s="19" t="str">
        <f>CONCATENATE("Tot. Kälteleistung ",ROUND(K9,0),"/",ROUND(K10,0),"/",ROUND(K11,0)," ["&amp;IF(cal!$W$4=1,"W",IF(cal!$W$4=2,"Btu/h"))&amp;"]")</f>
        <v>Tot. Kälteleistung 16/18/27 [W]</v>
      </c>
      <c r="I15" s="19" t="str">
        <f>"Drehzahl ["&amp;IF(UnitsNo=1,"u/min",IF(UnitsNo=2,"RPM"))&amp;"]"</f>
        <v>Drehzahl [u/min]</v>
      </c>
      <c r="J15" s="20" t="str">
        <f>"zug. wassers. Druckverlust ["&amp;IF(cal!$W$4=1,"kPa",IF(cal!$W$4=2,"inH2O"))&amp;"]"</f>
        <v>zug. wassers. Druckverlust [kPa]</v>
      </c>
      <c r="K15" s="26" t="s">
        <v>40</v>
      </c>
      <c r="L15" s="32" t="s">
        <v>39</v>
      </c>
      <c r="M15" s="19" t="s">
        <v>4</v>
      </c>
      <c r="N15" s="25" t="str">
        <f>"Luftvolumenstrom ["&amp;IF(cal!$W$4=1,"m³/h",IF(cal!$W$4=2,"CFM"))&amp;"]"</f>
        <v>Luftvolumenstrom [m³/h]</v>
      </c>
      <c r="O15" s="19" t="str">
        <f>"Luftaustrittstemp. Heizung  ["&amp;IF(cal!$W$4=1,"°C",IF(cal!$W$4=2,"°F"))&amp;"]"</f>
        <v>Luftaustrittstemp. Heizung  [°C]</v>
      </c>
      <c r="P15" s="19" t="str">
        <f>"Luftaustrittstemp. Kühlung  ["&amp;IF(cal!$W$4=1,"°C",IF(cal!$W$4=2,"°F"))&amp;"]"</f>
        <v>Luftaustrittstemp. Kühlung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höhe 41 cm breite 41 cm länge 43 cm (Type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109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84</v>
      </c>
      <c r="T17" s="144" t="s">
        <v>110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85</v>
      </c>
      <c r="T18" s="144" t="s">
        <v>111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  <c r="T19" s="144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höhe 41 cm breite 41 cm länge 43 cm (Type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höhe 0 cm breite 0 cm länge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höhe 0 cm breite 0 cm länge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48</v>
      </c>
    </row>
    <row r="41" spans="2:16" ht="9.4" customHeight="1">
      <c r="B41" s="6" t="s">
        <v>237</v>
      </c>
    </row>
    <row r="42" spans="2:16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whole" errorStyle="information" allowBlank="1" showErrorMessage="1" error="Eingabe außerhalb des gültigen Bereichs." prompt="20°C bis 35°C" sqref="K11" xr:uid="{00000000-0002-0000-04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4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4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4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4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4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400-000006000000}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B1:T49"/>
  <sheetViews>
    <sheetView topLeftCell="A15" workbookViewId="0">
      <selection activeCell="B42" sqref="B4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20</v>
      </c>
      <c r="C3" s="22"/>
    </row>
    <row r="4" spans="2:20">
      <c r="B4" s="21"/>
      <c r="H4" s="281" t="s">
        <v>70</v>
      </c>
      <c r="I4" s="282"/>
      <c r="J4" s="282"/>
      <c r="K4" s="283"/>
    </row>
    <row r="5" spans="2:20">
      <c r="B5" s="28" t="s">
        <v>17</v>
      </c>
      <c r="H5" s="281" t="s">
        <v>71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2" t="s">
        <v>24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190</v>
      </c>
    </row>
    <row r="8" spans="2:20">
      <c r="B8" s="134" t="s">
        <v>25</v>
      </c>
      <c r="C8" s="149"/>
      <c r="D8" s="149"/>
      <c r="E8" s="7"/>
      <c r="F8" s="7"/>
      <c r="G8" s="8" t="s">
        <v>22</v>
      </c>
      <c r="H8" s="8"/>
      <c r="I8" s="8"/>
      <c r="J8" s="7"/>
      <c r="K8" s="7"/>
      <c r="L8" s="7"/>
      <c r="M8" s="29"/>
      <c r="N8" s="13"/>
      <c r="O8" s="29"/>
      <c r="P8" s="13"/>
      <c r="Q8" s="1" t="s">
        <v>191</v>
      </c>
    </row>
    <row r="9" spans="2:20" ht="15" thickBot="1">
      <c r="B9" s="278" t="str">
        <f>"Entrée de l'eau"</f>
        <v>Entrée de l'eau</v>
      </c>
      <c r="C9" s="279"/>
      <c r="D9" s="279"/>
      <c r="E9" s="60">
        <f>cal!E9</f>
        <v>75</v>
      </c>
      <c r="F9" s="49"/>
      <c r="G9" s="265" t="str">
        <f>B9</f>
        <v>Entrée de l'eau</v>
      </c>
      <c r="H9" s="265"/>
      <c r="I9" s="265"/>
      <c r="J9" s="265"/>
      <c r="K9" s="60">
        <f>cal!K9</f>
        <v>16</v>
      </c>
      <c r="L9" s="7"/>
      <c r="M9" s="270" t="s">
        <v>94</v>
      </c>
      <c r="N9" s="271"/>
      <c r="O9" s="7"/>
      <c r="P9" s="13"/>
      <c r="Q9" s="1" t="s">
        <v>192</v>
      </c>
    </row>
    <row r="10" spans="2:20" ht="15" thickTop="1">
      <c r="B10" s="278" t="str">
        <f>"Retour de l'eau"</f>
        <v>Retour de l'eau</v>
      </c>
      <c r="C10" s="279"/>
      <c r="D10" s="279"/>
      <c r="E10" s="60">
        <f>cal!E10</f>
        <v>65</v>
      </c>
      <c r="F10" s="49"/>
      <c r="G10" s="265" t="str">
        <f>B10</f>
        <v>Retour de l'eau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78" t="str">
        <f>"Ambiante"</f>
        <v>Ambiante</v>
      </c>
      <c r="C11" s="279"/>
      <c r="D11" s="279"/>
      <c r="E11" s="60">
        <f>cal!E11</f>
        <v>20</v>
      </c>
      <c r="F11" s="49"/>
      <c r="G11" s="265" t="str">
        <f>B11</f>
        <v>Ambiante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112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18</v>
      </c>
      <c r="C15" s="19" t="s">
        <v>21</v>
      </c>
      <c r="D15" s="26" t="str">
        <f>CONCATENATE("Puissance de cha.  ",ROUND(E9,0),"/",ROUND(E10,0),"/",ROUND(E11,0)," ["&amp;IF(cal!$W$4=1,"W",IF(cal!$W$4=2,"MBH"))&amp;"]")</f>
        <v>Puissance de cha.  75/65/20 [W]</v>
      </c>
      <c r="E15" s="30" t="str">
        <f>"Débit d'eau, chauffer ["&amp;IF(cal!$W$4=1,"l/h",IF(cal!$W$4=2,"GPM"))&amp;"]"</f>
        <v>Débit d'eau, chauffer [l/h]</v>
      </c>
      <c r="F15" s="33" t="str">
        <f>"Perte de charge ["&amp;IF(cal!$W$4=1,"kPa",IF(cal!$W$4=2,"inH2O"))&amp;"]"</f>
        <v>Perte de charge [kPa]</v>
      </c>
      <c r="G15" s="19" t="str">
        <f>CONCATENATE("Puissance sens. de refr.  ",ROUND(K9,0),"/",ROUND(K10,0),"/",ROUND(K11,0)," ["&amp;IF(cal!$W$4=1,"W",IF(cal!$W$4=2,"Btu/h"))&amp;"]")</f>
        <v>Puissance sens. de refr.  16/18/27 [W]</v>
      </c>
      <c r="H15" s="19" t="str">
        <f>CONCATENATE("Puissance tot. de refr. ",ROUND(K9,0),"/",ROUND(K10,0),"/",ROUND(K11,0)," ["&amp;IF(cal!$W$4=1,"W",IF(cal!$W$4=2,"Btu/h"))&amp;"]")</f>
        <v>Puissance tot. de refr. 16/18/27 [W]</v>
      </c>
      <c r="I15" s="19" t="str">
        <f>"Vitesse ["&amp;IF(UnitsNo=1,"u/min",IF(UnitsNo=2,"RPM"))&amp;"]"</f>
        <v>Vitesse [u/min]</v>
      </c>
      <c r="J15" s="20" t="str">
        <f>"Perte de charge ["&amp;IF(cal!$W$4=1,"kPa",IF(cal!$W$4=2,"inH2O"))&amp;"]"</f>
        <v>Perte de charge [kPa]</v>
      </c>
      <c r="K15" s="26" t="s">
        <v>38</v>
      </c>
      <c r="L15" s="32" t="s">
        <v>37</v>
      </c>
      <c r="M15" s="19" t="s">
        <v>23</v>
      </c>
      <c r="N15" s="25" t="str">
        <f>"Débit d'air ["&amp;IF(cal!$W$4=1,"m³/h",IF(cal!$W$4=2,"CFM"))&amp;"]"</f>
        <v>Débit d'air [m³/h]</v>
      </c>
      <c r="O15" s="19" t="str">
        <f>"Temp. de la sortie d'air cha.  ["&amp;IF(cal!$W$4=1,"°C",IF(cal!$W$4=2,"°F"))&amp;"]"</f>
        <v>Temp. de la sortie d'air cha.  [°C]</v>
      </c>
      <c r="P15" s="19" t="str">
        <f>"Temp. de la sortie d'air refr.  ["&amp;IF(cal!$W$4=1,"°C",IF(cal!$W$4=2,"°F"))&amp;"]"</f>
        <v>Temp. de la sortie d'air refr.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hauteur 41 cm largeur 41 cm longueur 43 cm (Type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113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86</v>
      </c>
      <c r="T17" s="144" t="s">
        <v>114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87</v>
      </c>
      <c r="T18" s="144" t="s">
        <v>115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hauteur 41 cm largeur 41 cm longueur 43 cm (Type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hauteur 0 cm largeur 0 cm longueur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hauteur 0 cm largeur 0 cm longueur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49</v>
      </c>
      <c r="M40" s="48"/>
      <c r="N40" s="46" t="str">
        <f>cal!P46</f>
        <v>v2023-10-10</v>
      </c>
      <c r="O40" s="48"/>
      <c r="P40" s="46"/>
    </row>
    <row r="41" spans="2:16" ht="9.4" customHeight="1">
      <c r="B41" s="6" t="s">
        <v>238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whole" errorStyle="information" allowBlank="1" showErrorMessage="1" error="Eingabe außerhalb des gültigen Bereichs." prompt="20°C bis 35°C" sqref="K11" xr:uid="{00000000-0002-0000-05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5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5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5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5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5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500-000006000000}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B1:T49"/>
  <sheetViews>
    <sheetView topLeftCell="A14" workbookViewId="0">
      <selection activeCell="B42" sqref="B4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136" t="s">
        <v>66</v>
      </c>
      <c r="C3" s="22"/>
    </row>
    <row r="4" spans="2:20">
      <c r="B4" s="21"/>
      <c r="H4" s="281" t="s">
        <v>67</v>
      </c>
      <c r="I4" s="282">
        <v>0</v>
      </c>
      <c r="J4" s="282">
        <v>0</v>
      </c>
      <c r="K4" s="283">
        <v>0</v>
      </c>
    </row>
    <row r="5" spans="2:20">
      <c r="B5" s="28" t="s">
        <v>17</v>
      </c>
      <c r="H5" s="281" t="s">
        <v>68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63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188</v>
      </c>
    </row>
    <row r="8" spans="2:20">
      <c r="B8" s="134" t="s">
        <v>64</v>
      </c>
      <c r="C8" s="149"/>
      <c r="D8" s="149"/>
      <c r="E8" s="7"/>
      <c r="F8" s="7"/>
      <c r="G8" s="135" t="s">
        <v>65</v>
      </c>
      <c r="H8" s="8"/>
      <c r="I8" s="8"/>
      <c r="J8" s="7"/>
      <c r="K8" s="7"/>
      <c r="L8" s="7"/>
      <c r="M8" s="29"/>
      <c r="N8" s="13"/>
      <c r="O8" s="29"/>
      <c r="P8" s="13"/>
      <c r="Q8" s="1" t="s">
        <v>183</v>
      </c>
    </row>
    <row r="9" spans="2:20" ht="15" thickBot="1">
      <c r="B9" s="278" t="s">
        <v>116</v>
      </c>
      <c r="C9" s="279">
        <v>0</v>
      </c>
      <c r="D9" s="279">
        <v>0</v>
      </c>
      <c r="E9" s="60">
        <f>cal!E9</f>
        <v>75</v>
      </c>
      <c r="F9" s="49"/>
      <c r="G9" s="265" t="str">
        <f>B9</f>
        <v>Tur vann</v>
      </c>
      <c r="H9" s="265"/>
      <c r="I9" s="265"/>
      <c r="J9" s="265"/>
      <c r="K9" s="60">
        <f>cal!K9</f>
        <v>16</v>
      </c>
      <c r="L9" s="7"/>
      <c r="M9" s="270" t="s">
        <v>95</v>
      </c>
      <c r="N9" s="271"/>
      <c r="O9" s="7"/>
      <c r="P9" s="13"/>
      <c r="Q9" s="1" t="s">
        <v>189</v>
      </c>
    </row>
    <row r="10" spans="2:20" ht="15" thickTop="1">
      <c r="B10" s="278" t="s">
        <v>117</v>
      </c>
      <c r="C10" s="279">
        <v>0</v>
      </c>
      <c r="D10" s="279">
        <v>0</v>
      </c>
      <c r="E10" s="60">
        <f>cal!E10</f>
        <v>65</v>
      </c>
      <c r="F10" s="49"/>
      <c r="G10" s="265" t="str">
        <f>B10</f>
        <v>Retur vann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78" t="s">
        <v>118</v>
      </c>
      <c r="C11" s="279">
        <v>0</v>
      </c>
      <c r="D11" s="279">
        <v>0</v>
      </c>
      <c r="E11" s="60">
        <f>cal!E11</f>
        <v>20</v>
      </c>
      <c r="F11" s="49"/>
      <c r="G11" s="265" t="str">
        <f>B11</f>
        <v>Rom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279" t="s">
        <v>119</v>
      </c>
      <c r="H12" s="279"/>
      <c r="I12" s="279"/>
      <c r="J12" s="280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131" t="s">
        <v>173</v>
      </c>
      <c r="C15" s="132" t="s">
        <v>165</v>
      </c>
      <c r="D15" s="131" t="str">
        <f>CONCATENATE("Varme effekt ",ROUND(E9,0),"/",ROUND(E10,0),"/",ROUND(E11,0)," ["&amp;IF(cal!$W$4=1,"W",IF(cal!$W$4=2,"MBH"))&amp;"]")</f>
        <v>Varme effekt 75/65/20 [W]</v>
      </c>
      <c r="E15" s="137" t="str">
        <f>"Vannmengde, varme ["&amp;IF(cal!$W$4=1,"l/h",IF(cal!$W$4=2,"GPM"))&amp;"]"</f>
        <v>Vannmengde, varme [l/h]</v>
      </c>
      <c r="F15" s="138" t="str">
        <f>"Trykktap ["&amp;IF(cal!$W$4=1,"kPa",IF(cal!$W$4=2,"ftH2O"))&amp;"]"</f>
        <v>Trykktap [kPa]</v>
      </c>
      <c r="G15" s="132" t="str">
        <f>CONCATENATE("Sens. Kjøling effekt * ",ROUND(K9,0),"/",ROUND(K10,0),"/",ROUND(K11,0)," ["&amp;IF(cal!$W$4=1,"W",IF(cal!$W$4=2,"Btu/h"))&amp;"]")</f>
        <v>Sens. Kjøling effekt * 16/18/27 [W]</v>
      </c>
      <c r="H15" s="132" t="str">
        <f>CONCATENATE("Tot. Kjøle effekt ",ROUND(K9,0),"/",ROUND(K10,0),"/",ROUND(K11,0)," ["&amp;IF(cal!$W$4=1,"W",IF(cal!$W$4=2,"Btu/h"))&amp;"]")</f>
        <v>Tot. Kjøle effekt 16/18/27 [W]</v>
      </c>
      <c r="I15" s="132" t="str">
        <f>"hastighet  ["&amp;IF(UnitsNo=1,"u/min",IF(UnitsNo=2,"RPM"))&amp;"]"</f>
        <v>hastighet  [u/min]</v>
      </c>
      <c r="J15" s="132" t="str">
        <f>F15</f>
        <v>Trykktap [kPa]</v>
      </c>
      <c r="K15" s="131" t="s">
        <v>169</v>
      </c>
      <c r="L15" s="139" t="s">
        <v>170</v>
      </c>
      <c r="M15" s="132" t="s">
        <v>69</v>
      </c>
      <c r="N15" s="138" t="str">
        <f>"Luftmengde ["&amp;IF(cal!$W$4=1,"m³/h",IF(cal!$W$4=2,"CFM"))&amp;"]"</f>
        <v>Luftmengde [m³/h]</v>
      </c>
      <c r="O15" s="19" t="str">
        <f>"Uitblaastemp. verwarming  ["&amp;IF(cal!$W$4=1,"°C",IF(cal!$W$4=2,"°F"))&amp;"]"</f>
        <v>Uitblaastemp. verwarming  [°C]</v>
      </c>
      <c r="P15" s="19" t="str">
        <f>"Uitblaastemp. koeling  ["&amp;IF(cal!$W$4=1,"°C",IF(cal!$W$4=2,"°F"))&amp;"]"</f>
        <v>Uitblaastemp. koeling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høyde 41 cm bredde 41 cm lengde 43 cm (Type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120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88</v>
      </c>
      <c r="T17" s="144" t="s">
        <v>121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89</v>
      </c>
      <c r="T18" s="144" t="s">
        <v>122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  <c r="T19" s="144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høyde 41 cm bredde 41 cm lengde 43 cm (Type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høyde 0 cm bredde 0 cm lengde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høyde 0 cm bredde 0 cm lengde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179" t="s">
        <v>138</v>
      </c>
      <c r="M40" s="48"/>
      <c r="N40" s="46" t="str">
        <f>cal!P46</f>
        <v>v2023-10-10</v>
      </c>
      <c r="O40" s="48"/>
      <c r="P40" s="46"/>
    </row>
    <row r="41" spans="2:16" ht="9.4" customHeight="1">
      <c r="B41" s="179" t="s">
        <v>239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4">
    <mergeCell ref="M9:N9"/>
    <mergeCell ref="B16:N16"/>
    <mergeCell ref="B22:N22"/>
    <mergeCell ref="B28:N28"/>
    <mergeCell ref="B34:N34"/>
    <mergeCell ref="G12:J12"/>
    <mergeCell ref="B11:D11"/>
    <mergeCell ref="G11:J11"/>
    <mergeCell ref="H4:K4"/>
    <mergeCell ref="H5:K5"/>
    <mergeCell ref="B9:D9"/>
    <mergeCell ref="G9:J9"/>
    <mergeCell ref="B10:D10"/>
    <mergeCell ref="G10:J10"/>
  </mergeCells>
  <dataValidations count="7">
    <dataValidation type="decimal" errorStyle="information" allowBlank="1" showErrorMessage="1" error="Eingabe außerhalb des gültigen Bereichs." prompt="20°C bis 35°C" sqref="K12" xr:uid="{00000000-0002-0000-06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6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6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6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6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6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600-000006000000}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B1:T49"/>
  <sheetViews>
    <sheetView topLeftCell="A14" workbookViewId="0">
      <selection activeCell="B42" sqref="B4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136"/>
      <c r="C3" s="22"/>
    </row>
    <row r="4" spans="2:20">
      <c r="B4" s="21"/>
      <c r="H4" s="281"/>
      <c r="I4" s="282"/>
      <c r="J4" s="282"/>
      <c r="K4" s="283"/>
    </row>
    <row r="5" spans="2:20">
      <c r="B5" s="28"/>
      <c r="H5" s="281"/>
      <c r="I5" s="282"/>
      <c r="J5" s="282"/>
      <c r="K5" s="283"/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123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185</v>
      </c>
    </row>
    <row r="8" spans="2:20">
      <c r="B8" s="134" t="s">
        <v>124</v>
      </c>
      <c r="C8" s="149"/>
      <c r="D8" s="149"/>
      <c r="E8" s="7"/>
      <c r="F8" s="7"/>
      <c r="G8" s="135" t="s">
        <v>129</v>
      </c>
      <c r="H8" s="8"/>
      <c r="I8" s="8"/>
      <c r="J8" s="7"/>
      <c r="K8" s="7"/>
      <c r="L8" s="7"/>
      <c r="M8" s="29"/>
      <c r="N8" s="13"/>
      <c r="O8" s="29"/>
      <c r="P8" s="13"/>
      <c r="Q8" s="1" t="s">
        <v>186</v>
      </c>
    </row>
    <row r="9" spans="2:20" ht="15" thickBot="1">
      <c r="B9" s="278" t="s">
        <v>125</v>
      </c>
      <c r="C9" s="279">
        <v>0</v>
      </c>
      <c r="D9" s="279">
        <v>0</v>
      </c>
      <c r="E9" s="60">
        <f>cal!E9</f>
        <v>75</v>
      </c>
      <c r="F9" s="49"/>
      <c r="G9" s="265" t="str">
        <f>B9</f>
        <v>Agua impulsión</v>
      </c>
      <c r="H9" s="265"/>
      <c r="I9" s="265"/>
      <c r="J9" s="265"/>
      <c r="K9" s="60">
        <f>cal!K9</f>
        <v>16</v>
      </c>
      <c r="L9" s="7"/>
      <c r="M9" s="270" t="s">
        <v>96</v>
      </c>
      <c r="N9" s="271"/>
      <c r="O9" s="7"/>
      <c r="P9" s="13"/>
      <c r="Q9" s="1" t="s">
        <v>187</v>
      </c>
    </row>
    <row r="10" spans="2:20" ht="15" thickTop="1">
      <c r="B10" s="278" t="s">
        <v>126</v>
      </c>
      <c r="C10" s="279">
        <v>0</v>
      </c>
      <c r="D10" s="279">
        <v>0</v>
      </c>
      <c r="E10" s="60">
        <f>cal!E10</f>
        <v>65</v>
      </c>
      <c r="F10" s="49"/>
      <c r="G10" s="265" t="str">
        <f>B10</f>
        <v>Agua retorno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78" t="s">
        <v>127</v>
      </c>
      <c r="C11" s="279">
        <v>0</v>
      </c>
      <c r="D11" s="279">
        <v>0</v>
      </c>
      <c r="E11" s="60">
        <f>cal!E11</f>
        <v>20</v>
      </c>
      <c r="F11" s="49"/>
      <c r="G11" s="265" t="str">
        <f>B11</f>
        <v>Ambiente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279" t="s">
        <v>128</v>
      </c>
      <c r="H12" s="279"/>
      <c r="I12" s="279"/>
      <c r="J12" s="280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131" t="s">
        <v>174</v>
      </c>
      <c r="C15" s="132" t="s">
        <v>130</v>
      </c>
      <c r="D15" s="131" t="str">
        <f>CONCATENATE("Emisión calefacción ",ROUND(E9,0),"/",ROUND(E10,0),"/",ROUND(E11,0)," ["&amp;IF(UnitsNo=1,"W",IF(UnitsNo=2,"MBH"))&amp;"]")</f>
        <v>Emisión calefacción 75/65/20 [W]</v>
      </c>
      <c r="E15" s="137" t="str">
        <f>"Caudal de agua, calefacción ["&amp;IF(1=1,"l/h",IF(UnitsNo=2,"GPM"))&amp;"]"</f>
        <v>Caudal de agua, calefacción [l/h]</v>
      </c>
      <c r="F15" s="138" t="str">
        <f>"Pérdida de carga del agua ["&amp;IF(UnitsNo=1,"kPa",IF(UnitsNo=2,"ftH2O"))&amp;"]"</f>
        <v>Pérdida de carga del agua [kPa]</v>
      </c>
      <c r="G15" s="132" t="str">
        <f>CONCATENATE("Emisión sensible Frío * ",ROUND(K9,0),"/",ROUND(K10,0),"/",ROUND(K11,0)," ["&amp;IF(UnitsNo=1,"W",IF(UnitsNo=2,"Btu/h"))&amp;"]")</f>
        <v>Emisión sensible Frío * 16/18/27 [W]</v>
      </c>
      <c r="H15" s="132" t="str">
        <f>CONCATENATE("Emisión total Frío ",ROUND(K9,0),"/",ROUND(K10,0),"/",ROUND(K11,0)," ["&amp;IF(UnitsNo=1,"W",IF(UnitsNo=2,"Btu/h"))&amp;"]")</f>
        <v>Emisión total Frío 16/18/27 [W]</v>
      </c>
      <c r="I15" s="132" t="str">
        <f>"Velocidad  ["&amp;IF(UnitsNo=1,"u/min",IF(UnitsNo=2,"RPM"))&amp;"]"</f>
        <v>Velocidad  [u/min]</v>
      </c>
      <c r="J15" s="132" t="str">
        <f>F15</f>
        <v>Pérdida de carga del agua [kPa]</v>
      </c>
      <c r="K15" s="131" t="s">
        <v>171</v>
      </c>
      <c r="L15" s="139" t="s">
        <v>172</v>
      </c>
      <c r="M15" s="132" t="s">
        <v>131</v>
      </c>
      <c r="N15" s="138" t="str">
        <f>"Caudal de aire ["&amp;IF(UnitsNo=1,"m³/h",IF(UnitsNo=2,"CFM"))&amp;"]"</f>
        <v>Caudal de aire [m³/h]</v>
      </c>
      <c r="O15" s="185" t="str">
        <f>"Temperatura salida de aire calefacción ["&amp;IF(UnitsNo=1,"°C",IF(UnitsNo=2,"°F"))&amp;"]"</f>
        <v>Temperatura salida de aire calefacción [°C]</v>
      </c>
      <c r="P15" s="186" t="str">
        <f>"Temperatura salida de aire refrigeración (bulbo seco) ["&amp;IF(UnitsNo=1,"°C",IF(UnitsNo=2,"°F"))&amp;"]"</f>
        <v>Temperatura salida de aire refrigeración (bulbo seco)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altura 41 cm ancho 41 cm longitud 43 cm (Type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" t="s">
        <v>134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132</v>
      </c>
      <c r="T17" s="1" t="s">
        <v>135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133</v>
      </c>
      <c r="T18" s="1" t="s">
        <v>136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altura 41 cm ancho 41 cm longitud 43 cm (Type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altura 0 cm ancho 0 cm longitud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altura 0 cm ancho 0 cm longitud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179" t="s">
        <v>137</v>
      </c>
      <c r="M40" s="48"/>
      <c r="N40" s="46" t="str">
        <f>cal!P46</f>
        <v>v2023-10-10</v>
      </c>
      <c r="O40" s="48"/>
      <c r="P40" s="46"/>
    </row>
    <row r="41" spans="2:16" ht="9.4" customHeight="1">
      <c r="B41" s="179" t="s">
        <v>240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4">
    <mergeCell ref="B34:N34"/>
    <mergeCell ref="M9:N9"/>
    <mergeCell ref="B11:D11"/>
    <mergeCell ref="G11:J11"/>
    <mergeCell ref="G12:J12"/>
    <mergeCell ref="B16:N16"/>
    <mergeCell ref="B22:N22"/>
    <mergeCell ref="B28:N28"/>
    <mergeCell ref="H4:K4"/>
    <mergeCell ref="H5:K5"/>
    <mergeCell ref="B9:D9"/>
    <mergeCell ref="G9:J9"/>
    <mergeCell ref="B10:D10"/>
    <mergeCell ref="G10:J10"/>
  </mergeCells>
  <dataValidations count="7">
    <dataValidation type="whole" errorStyle="information" allowBlank="1" showErrorMessage="1" error="Eingabe außerhalb des gültigen Bereichs." prompt="20°C bis 35°C" sqref="K11" xr:uid="{00000000-0002-0000-07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7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7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7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7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7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700-000006000000}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B1:T49"/>
  <sheetViews>
    <sheetView topLeftCell="A15" workbookViewId="0">
      <selection activeCell="B42" sqref="B42"/>
    </sheetView>
  </sheetViews>
  <sheetFormatPr defaultColWidth="5.7265625" defaultRowHeight="14.5" zeroHeight="1"/>
  <cols>
    <col min="1" max="1" width="5.7265625" style="1"/>
    <col min="2" max="2" width="7" style="1" customWidth="1"/>
    <col min="3" max="3" width="6.1796875" style="1" customWidth="1"/>
    <col min="4" max="4" width="7" style="1" customWidth="1"/>
    <col min="5" max="5" width="6.7265625" style="1" customWidth="1"/>
    <col min="6" max="16" width="7" style="1" customWidth="1"/>
    <col min="17" max="16384" width="5.726562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81" t="s">
        <v>74</v>
      </c>
      <c r="I4" s="282">
        <v>0</v>
      </c>
      <c r="J4" s="282">
        <v>0</v>
      </c>
      <c r="K4" s="283">
        <v>0</v>
      </c>
    </row>
    <row r="5" spans="2:20">
      <c r="B5" s="28" t="s">
        <v>17</v>
      </c>
      <c r="H5" s="281" t="s">
        <v>75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63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182</v>
      </c>
    </row>
    <row r="8" spans="2:20">
      <c r="B8" s="134" t="s">
        <v>145</v>
      </c>
      <c r="C8" s="149"/>
      <c r="D8" s="149"/>
      <c r="E8" s="7"/>
      <c r="F8" s="7"/>
      <c r="G8" s="8" t="s">
        <v>146</v>
      </c>
      <c r="H8" s="8"/>
      <c r="I8" s="8"/>
      <c r="J8" s="7"/>
      <c r="K8" s="7"/>
      <c r="L8" s="7"/>
      <c r="M8" s="29"/>
      <c r="N8" s="13"/>
      <c r="O8" s="29"/>
      <c r="P8" s="13"/>
      <c r="Q8" s="1" t="s">
        <v>183</v>
      </c>
    </row>
    <row r="9" spans="2:20" ht="15" thickBot="1">
      <c r="B9" s="278" t="s">
        <v>147</v>
      </c>
      <c r="C9" s="279"/>
      <c r="D9" s="279"/>
      <c r="E9" s="60">
        <f>cal!E9</f>
        <v>75</v>
      </c>
      <c r="F9" s="49"/>
      <c r="G9" s="265" t="str">
        <f>B9</f>
        <v>Tillopp</v>
      </c>
      <c r="H9" s="265"/>
      <c r="I9" s="265"/>
      <c r="J9" s="265"/>
      <c r="K9" s="60">
        <f>cal!K9</f>
        <v>16</v>
      </c>
      <c r="L9" s="7"/>
      <c r="M9" s="270" t="s">
        <v>95</v>
      </c>
      <c r="N9" s="271"/>
      <c r="O9" s="7"/>
      <c r="P9" s="13"/>
      <c r="Q9" s="1" t="s">
        <v>184</v>
      </c>
    </row>
    <row r="10" spans="2:20" ht="15" thickTop="1">
      <c r="B10" s="278" t="s">
        <v>148</v>
      </c>
      <c r="C10" s="279"/>
      <c r="D10" s="279"/>
      <c r="E10" s="60">
        <f>cal!E10</f>
        <v>65</v>
      </c>
      <c r="F10" s="49"/>
      <c r="G10" s="265" t="str">
        <f>B10</f>
        <v>Retur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3" t="s">
        <v>149</v>
      </c>
      <c r="C11" s="184"/>
      <c r="D11" s="184"/>
      <c r="E11" s="60">
        <f>cal!E11</f>
        <v>20</v>
      </c>
      <c r="F11" s="49"/>
      <c r="G11" s="265" t="str">
        <f>B11</f>
        <v>Rum (torr)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150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5" customHeight="1">
      <c r="B15" s="26" t="s">
        <v>175</v>
      </c>
      <c r="C15" s="19" t="s">
        <v>151</v>
      </c>
      <c r="D15" s="26" t="str">
        <f>CONCATENATE("Värme effekt  ",ROUND(E9,0),"/",ROUND(E10,0),"/",ROUND(E11,0)," ["&amp;IF(cal!$W$4=1,"W",IF(cal!$W$4=2,"MBH"))&amp;"]")</f>
        <v>Värme effekt  75/65/20 [W]</v>
      </c>
      <c r="E15" s="30" t="str">
        <f>"Vattenflöde, värme ["&amp;IF(cal!$W$4=1,"l/h",IF(cal!$W$4=2,"GPM"))&amp;"]"</f>
        <v>Vattenflöde, värme [l/h]</v>
      </c>
      <c r="F15" s="33" t="str">
        <f>"Tryckfall, vatten ["&amp;IF(cal!$W$4=1,"kPa",IF(cal!$W$4=2,"inH2O"))&amp;"]"</f>
        <v>Tryckfall, vatten [kPa]</v>
      </c>
      <c r="G15" s="19" t="str">
        <f>CONCATENATE("Märkbar kylkapacitet  ",ROUND(K9,0),"/",ROUND(K10,0),"/",ROUND(K11,0)," ["&amp;IF(cal!$W$4=1,"W",IF(cal!$W$4=2,"Btu/h"))&amp;"]")</f>
        <v>Märkbar kylkapacitet  16/18/27 [W]</v>
      </c>
      <c r="H15" s="19" t="str">
        <f>CONCATENATE("Total kylkapacitet ",ROUND(K9,0),"/",ROUND(K10,0),"/",ROUND(K11,0)," ["&amp;IF(cal!$W$4=1,"W",IF(cal!$W$4=2,"Btu/h"))&amp;"]")</f>
        <v>Total kylkapacitet 16/18/27 [W]</v>
      </c>
      <c r="I15" s="19" t="str">
        <f>"Hastighet  ["&amp;IF(UnitsNo=1,"u/min",IF(UnitsNo=2,"RPM"))&amp;"]"</f>
        <v>Hastighet  [u/min]</v>
      </c>
      <c r="J15" s="20" t="str">
        <f>F15</f>
        <v>Tryckfall, vatten [kPa]</v>
      </c>
      <c r="K15" s="26" t="s">
        <v>207</v>
      </c>
      <c r="L15" s="32" t="s">
        <v>208</v>
      </c>
      <c r="M15" s="19" t="s">
        <v>209</v>
      </c>
      <c r="N15" s="25" t="str">
        <f>"Luftflöde ["&amp;IF(cal!$W$4=1,"m³/h",IF(cal!$W$4=2,"CFM"))&amp;"]"</f>
        <v>Luftflöde [m³/h]</v>
      </c>
      <c r="O15" s="19" t="str">
        <f>"Luftavgassystemets värming  ["&amp;IF(cal!$W$4=1,"°C",IF(cal!$W$4=2,"°F"))&amp;"]"</f>
        <v>Luftavgassystemets värming  [°C]</v>
      </c>
      <c r="P15" s="19" t="str">
        <f>"Luftavgassystemets kylning  ["&amp;IF(cal!$W$4=1,"°C",IF(cal!$W$4=2,"°F"))&amp;"]"</f>
        <v>Luftavgassystemets kylning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 "&amp;cal!W16&amp;""&amp;cal!AC22&amp;")"</f>
        <v>Luchtverhitter höjd 41 cm djup 41 cm längd 43 cm (Typ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202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205</v>
      </c>
      <c r="T17" s="144" t="s">
        <v>203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206</v>
      </c>
      <c r="T18" s="144" t="s">
        <v>204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"&amp;cal!W16&amp;""&amp;cal!AC28&amp;")"</f>
        <v>Luchtverhitter höjd 41 cm djup 41 cm längd 43 cm (Typ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Luchtverhitter höjd 0 cm djup 0 cm längd 0 cm (Typ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Luchtverhitter höjd 0 cm djup 0 cm längd 0 cm (Typ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210</v>
      </c>
      <c r="M40" s="48"/>
      <c r="N40" s="46" t="str">
        <f>cal!P46</f>
        <v>v2023-10-10</v>
      </c>
      <c r="O40" s="48"/>
      <c r="P40" s="46"/>
    </row>
    <row r="41" spans="2:16" ht="9.4" customHeight="1">
      <c r="B41" s="6" t="s">
        <v>241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H4:K4"/>
    <mergeCell ref="H5:K5"/>
    <mergeCell ref="B9:D9"/>
    <mergeCell ref="G9:J9"/>
    <mergeCell ref="B34:N34"/>
    <mergeCell ref="M9:N9"/>
    <mergeCell ref="G11:J11"/>
    <mergeCell ref="B16:N16"/>
    <mergeCell ref="B22:N22"/>
    <mergeCell ref="B28:N28"/>
    <mergeCell ref="B10:D10"/>
    <mergeCell ref="G10:J10"/>
  </mergeCells>
  <dataValidations count="7">
    <dataValidation type="decimal" errorStyle="information" allowBlank="1" showErrorMessage="1" error="Eingabe außerhalb des gültigen Bereichs." prompt="20°C bis 35°C" sqref="K12" xr:uid="{00000000-0002-0000-08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8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8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8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8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8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800-000006000000}">
      <formula1>20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9</vt:i4>
      </vt:variant>
    </vt:vector>
  </HeadingPairs>
  <TitlesOfParts>
    <vt:vector size="22" baseType="lpstr">
      <vt:lpstr>Luchtverhitter</vt:lpstr>
      <vt:lpstr>cal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p_atm</vt:lpstr>
      <vt:lpstr>RH</vt:lpstr>
      <vt:lpstr>Tl_cool</vt:lpstr>
      <vt:lpstr>cal!Tl_heat</vt:lpstr>
      <vt:lpstr>Tr_cool</vt:lpstr>
      <vt:lpstr>cal!Tr_heat</vt:lpstr>
      <vt:lpstr>cal!Tv_cool</vt:lpstr>
      <vt:lpstr>cal!Tv_heat</vt:lpstr>
      <vt:lpstr>UnitsNo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THenson@jaga.be</dc:creator>
  <cp:lastModifiedBy>Dariusz Majchrzak</cp:lastModifiedBy>
  <cp:lastPrinted>2018-03-05T07:03:20Z</cp:lastPrinted>
  <dcterms:created xsi:type="dcterms:W3CDTF">2016-04-18T12:28:50Z</dcterms:created>
  <dcterms:modified xsi:type="dcterms:W3CDTF">2024-02-23T16:22:22Z</dcterms:modified>
</cp:coreProperties>
</file>