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 codeName="{AE6600E7-7A62-396C-DE95-9942FA9DD81E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U:\selectiontools\making micro canal\"/>
    </mc:Choice>
  </mc:AlternateContent>
  <xr:revisionPtr revIDLastSave="0" documentId="13_ncr:1_{359AB9FF-D06E-4E33-8A37-C2F87A56CFD0}" xr6:coauthVersionLast="47" xr6:coauthVersionMax="47" xr10:uidLastSave="{00000000-0000-0000-0000-000000000000}"/>
  <workbookProtection workbookAlgorithmName="SHA-512" workbookHashValue="vw5w65EfQ6E4kiXsOGQdxkAmjzRL7ut4mCTcuthOvEsANfbchijA+B1Zv9opC9Q0yj4l9doMW/iN8taKlbr5xw==" workbookSaltValue="HkcMcWM/Ffs8H2mwdRjeYg==" workbookSpinCount="100000" lockStructure="1"/>
  <bookViews>
    <workbookView xWindow="57480" yWindow="-120" windowWidth="29040" windowHeight="15840" xr2:uid="{00000000-000D-0000-FFFF-FFFF00000000}"/>
  </bookViews>
  <sheets>
    <sheet name="Micro canal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7" state="hidden" r:id="rId7"/>
    <sheet name="SP" sheetId="18" state="hidden" r:id="rId8"/>
    <sheet name="SW" sheetId="19" state="hidden" r:id="rId9"/>
    <sheet name="TS" sheetId="20" state="hidden" r:id="rId10"/>
    <sheet name="ExtraTaal1" sheetId="21" state="hidden" r:id="rId11"/>
    <sheet name="ExtraTaal2" sheetId="22" state="hidden" r:id="rId12"/>
    <sheet name="ExtraTaal3" sheetId="23" state="hidden" r:id="rId13"/>
  </sheets>
  <definedNames>
    <definedName name="Celc1">cal!$O$14</definedName>
    <definedName name="Celc2">cal!$P$14</definedName>
    <definedName name="CF_Altit">cal!$AB$11</definedName>
    <definedName name="Cubics">cal!$N$14</definedName>
    <definedName name="kgss">cal!$G$14</definedName>
    <definedName name="p_atm">cal!$Z$11</definedName>
    <definedName name="Pvs_Heat_in">611*EXP(17.27*((Tl_heat)/(Tl_heat+237.3)))</definedName>
    <definedName name="RH">cal!$K$12</definedName>
    <definedName name="Tavg_cold">(Tv_cool+Tr_cool)/2</definedName>
    <definedName name="Tl_cool">cal!$X$11</definedName>
    <definedName name="Tl_heat">cal!$S$11</definedName>
    <definedName name="Tr_cool">cal!$X$10</definedName>
    <definedName name="Tr_heat">cal!$S$10</definedName>
    <definedName name="Tv_cool">cal!$X$9</definedName>
    <definedName name="Tv_heat">cal!$S$9</definedName>
    <definedName name="Watts">cal!$H$14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8" l="1"/>
  <c r="X17" i="8"/>
  <c r="E14" i="15" l="1"/>
  <c r="E14" i="14"/>
  <c r="E14" i="13"/>
  <c r="E14" i="9"/>
  <c r="I14" i="23"/>
  <c r="I14" i="22"/>
  <c r="I14" i="21"/>
  <c r="E14" i="20"/>
  <c r="E14" i="19"/>
  <c r="I14" i="15"/>
  <c r="I14" i="14"/>
  <c r="I14" i="13"/>
  <c r="I14" i="9"/>
  <c r="AE17" i="8"/>
  <c r="M8" i="8" l="1"/>
  <c r="Z11" i="8" s="1"/>
  <c r="AH22" i="8" l="1"/>
  <c r="AH28" i="8" s="1"/>
  <c r="AA28" i="8" s="1"/>
  <c r="AF22" i="8"/>
  <c r="AJ46" i="8"/>
  <c r="AJ40" i="8"/>
  <c r="AJ34" i="8"/>
  <c r="AJ28" i="8"/>
  <c r="AJ22" i="8"/>
  <c r="AE16" i="8" l="1"/>
  <c r="F14" i="8" l="1"/>
  <c r="AE19" i="8" l="1"/>
  <c r="X19" i="8"/>
  <c r="AC21" i="8" l="1"/>
  <c r="AC17" i="8"/>
  <c r="AC18" i="8"/>
  <c r="AC19" i="8"/>
  <c r="AC20" i="8"/>
  <c r="AC23" i="8"/>
  <c r="AC24" i="8"/>
  <c r="AC25" i="8"/>
  <c r="AC26" i="8"/>
  <c r="AC27" i="8"/>
  <c r="AC29" i="8"/>
  <c r="AC30" i="8"/>
  <c r="AC31" i="8"/>
  <c r="AC32" i="8"/>
  <c r="AC33" i="8"/>
  <c r="AC35" i="8"/>
  <c r="AC36" i="8"/>
  <c r="AC37" i="8"/>
  <c r="AC38" i="8"/>
  <c r="AC39" i="8"/>
  <c r="AC41" i="8"/>
  <c r="AC42" i="8"/>
  <c r="AC43" i="8"/>
  <c r="AC44" i="8"/>
  <c r="AC45" i="8"/>
  <c r="AD45" i="8"/>
  <c r="AD17" i="8"/>
  <c r="Z29" i="8"/>
  <c r="AE18" i="8" l="1"/>
  <c r="X18" i="8" s="1"/>
  <c r="AE35" i="8" l="1"/>
  <c r="AE42" i="8"/>
  <c r="AE43" i="8"/>
  <c r="AE44" i="8"/>
  <c r="AE45" i="8"/>
  <c r="AE41" i="8"/>
  <c r="X41" i="8" s="1"/>
  <c r="AE36" i="8"/>
  <c r="AE37" i="8"/>
  <c r="AE38" i="8"/>
  <c r="AE39" i="8"/>
  <c r="AE24" i="8"/>
  <c r="AE25" i="8"/>
  <c r="AE26" i="8"/>
  <c r="AE27" i="8"/>
  <c r="AE23" i="8"/>
  <c r="AE21" i="8"/>
  <c r="X21" i="8" s="1"/>
  <c r="AE20" i="8"/>
  <c r="R17" i="8"/>
  <c r="G14" i="8" l="1"/>
  <c r="AC46" i="8"/>
  <c r="A39" i="9" s="1"/>
  <c r="AH38" i="8"/>
  <c r="S7" i="8"/>
  <c r="E9" i="8"/>
  <c r="S9" i="8" s="1"/>
  <c r="B48" i="8" l="1"/>
  <c r="B71" i="16"/>
  <c r="G6" i="16"/>
  <c r="H14" i="20"/>
  <c r="I14" i="20"/>
  <c r="D14" i="20"/>
  <c r="M14" i="20"/>
  <c r="M14" i="19"/>
  <c r="H14" i="19"/>
  <c r="I14" i="19"/>
  <c r="D14" i="19"/>
  <c r="F10" i="19"/>
  <c r="O14" i="23"/>
  <c r="N14" i="23"/>
  <c r="M14" i="23"/>
  <c r="H14" i="23"/>
  <c r="E14" i="23"/>
  <c r="D14" i="23"/>
  <c r="F10" i="23"/>
  <c r="A10" i="23"/>
  <c r="A9" i="23"/>
  <c r="F9" i="23" s="1"/>
  <c r="E8" i="23"/>
  <c r="E10" i="23" s="1"/>
  <c r="D8" i="23"/>
  <c r="A8" i="23"/>
  <c r="F8" i="23" s="1"/>
  <c r="O14" i="22"/>
  <c r="N14" i="22"/>
  <c r="M14" i="22"/>
  <c r="H14" i="22"/>
  <c r="E14" i="22"/>
  <c r="D14" i="22"/>
  <c r="A10" i="22"/>
  <c r="F10" i="22" s="1"/>
  <c r="A9" i="22"/>
  <c r="F9" i="22" s="1"/>
  <c r="E8" i="22"/>
  <c r="E10" i="22" s="1"/>
  <c r="D8" i="22"/>
  <c r="A8" i="22"/>
  <c r="F8" i="22" s="1"/>
  <c r="O14" i="21"/>
  <c r="N14" i="21"/>
  <c r="M14" i="21"/>
  <c r="H14" i="21"/>
  <c r="E14" i="21"/>
  <c r="D14" i="21"/>
  <c r="A10" i="21"/>
  <c r="F10" i="21" s="1"/>
  <c r="F9" i="21"/>
  <c r="A9" i="21"/>
  <c r="F8" i="21"/>
  <c r="E8" i="21"/>
  <c r="E10" i="21" s="1"/>
  <c r="D8" i="21"/>
  <c r="A8" i="21"/>
  <c r="O14" i="20"/>
  <c r="N14" i="20"/>
  <c r="F10" i="20"/>
  <c r="F9" i="20"/>
  <c r="F8" i="20"/>
  <c r="E8" i="20"/>
  <c r="E10" i="20" s="1"/>
  <c r="D8" i="20"/>
  <c r="O14" i="19"/>
  <c r="N14" i="19"/>
  <c r="F9" i="19"/>
  <c r="F8" i="19"/>
  <c r="E8" i="19"/>
  <c r="E10" i="19" s="1"/>
  <c r="D8" i="19"/>
  <c r="B7" i="8" l="1"/>
  <c r="C9" i="8"/>
  <c r="G8" i="8"/>
  <c r="L15" i="8"/>
  <c r="E16" i="8"/>
  <c r="M16" i="8"/>
  <c r="F22" i="8"/>
  <c r="N22" i="8"/>
  <c r="G28" i="8"/>
  <c r="O28" i="8"/>
  <c r="H34" i="8"/>
  <c r="P34" i="8"/>
  <c r="I40" i="8"/>
  <c r="J46" i="8"/>
  <c r="N46" i="8"/>
  <c r="D9" i="8"/>
  <c r="B11" i="8"/>
  <c r="G12" i="8"/>
  <c r="N7" i="8"/>
  <c r="M15" i="8"/>
  <c r="F16" i="8"/>
  <c r="J16" i="8"/>
  <c r="N16" i="8"/>
  <c r="C22" i="8"/>
  <c r="G22" i="8"/>
  <c r="K22" i="8"/>
  <c r="O22" i="8"/>
  <c r="D28" i="8"/>
  <c r="H28" i="8"/>
  <c r="L28" i="8"/>
  <c r="P28" i="8"/>
  <c r="E34" i="8"/>
  <c r="I34" i="8"/>
  <c r="M34" i="8"/>
  <c r="F40" i="8"/>
  <c r="J40" i="8"/>
  <c r="N40" i="8"/>
  <c r="C46" i="8"/>
  <c r="G46" i="8"/>
  <c r="K46" i="8"/>
  <c r="O46" i="8"/>
  <c r="D10" i="8"/>
  <c r="M7" i="8"/>
  <c r="I16" i="8"/>
  <c r="J22" i="8"/>
  <c r="C28" i="8"/>
  <c r="K28" i="8"/>
  <c r="D34" i="8"/>
  <c r="L34" i="8"/>
  <c r="E40" i="8"/>
  <c r="M40" i="8"/>
  <c r="F46" i="8"/>
  <c r="B8" i="8"/>
  <c r="B9" i="16" s="1"/>
  <c r="B10" i="8"/>
  <c r="C11" i="8"/>
  <c r="M9" i="8"/>
  <c r="B15" i="8"/>
  <c r="C16" i="8"/>
  <c r="G16" i="8"/>
  <c r="K16" i="8"/>
  <c r="O16" i="8"/>
  <c r="D22" i="8"/>
  <c r="H22" i="8"/>
  <c r="L22" i="8"/>
  <c r="P22" i="8"/>
  <c r="E28" i="8"/>
  <c r="I28" i="8"/>
  <c r="M28" i="8"/>
  <c r="F34" i="8"/>
  <c r="J34" i="8"/>
  <c r="N34" i="8"/>
  <c r="C40" i="8"/>
  <c r="G40" i="8"/>
  <c r="K40" i="8"/>
  <c r="O40" i="8"/>
  <c r="D46" i="8"/>
  <c r="H46" i="8"/>
  <c r="L46" i="8"/>
  <c r="P46" i="8"/>
  <c r="B49" i="8"/>
  <c r="B9" i="8"/>
  <c r="C10" i="8"/>
  <c r="D11" i="8"/>
  <c r="N9" i="8"/>
  <c r="C15" i="8"/>
  <c r="K15" i="8"/>
  <c r="D16" i="8"/>
  <c r="H16" i="8"/>
  <c r="L16" i="8"/>
  <c r="P16" i="8"/>
  <c r="E22" i="8"/>
  <c r="I22" i="8"/>
  <c r="M22" i="8"/>
  <c r="F28" i="8"/>
  <c r="J28" i="8"/>
  <c r="N28" i="8"/>
  <c r="C34" i="8"/>
  <c r="G34" i="8"/>
  <c r="K34" i="8"/>
  <c r="O34" i="8"/>
  <c r="D40" i="8"/>
  <c r="H40" i="8"/>
  <c r="L40" i="8"/>
  <c r="P40" i="8"/>
  <c r="E46" i="8"/>
  <c r="I46" i="8"/>
  <c r="M46" i="8"/>
  <c r="K8" i="22"/>
  <c r="K9" i="21"/>
  <c r="K10" i="22"/>
  <c r="K10" i="20"/>
  <c r="E9" i="21"/>
  <c r="K10" i="21"/>
  <c r="K10" i="23"/>
  <c r="K9" i="23"/>
  <c r="K10" i="19"/>
  <c r="K8" i="19"/>
  <c r="K9" i="19"/>
  <c r="K8" i="20"/>
  <c r="K8" i="21"/>
  <c r="K9" i="22"/>
  <c r="K9" i="20"/>
  <c r="K8" i="23"/>
  <c r="E9" i="23"/>
  <c r="E9" i="22"/>
  <c r="E9" i="20"/>
  <c r="E9" i="19"/>
  <c r="E10" i="8" l="1"/>
  <c r="S10" i="8" s="1"/>
  <c r="E11" i="8"/>
  <c r="D10" i="23" l="1"/>
  <c r="D10" i="22"/>
  <c r="D10" i="21"/>
  <c r="D10" i="19"/>
  <c r="D10" i="20"/>
  <c r="D9" i="23"/>
  <c r="D9" i="20"/>
  <c r="D9" i="19"/>
  <c r="D9" i="21"/>
  <c r="D9" i="22"/>
  <c r="O14" i="18"/>
  <c r="N14" i="18"/>
  <c r="M14" i="18"/>
  <c r="H14" i="18"/>
  <c r="E14" i="18"/>
  <c r="I14" i="18" s="1"/>
  <c r="D14" i="18"/>
  <c r="F10" i="18"/>
  <c r="F9" i="18"/>
  <c r="F8" i="18"/>
  <c r="E8" i="18"/>
  <c r="K10" i="18" s="1"/>
  <c r="O14" i="17"/>
  <c r="N14" i="17"/>
  <c r="M14" i="17"/>
  <c r="H14" i="17"/>
  <c r="E14" i="17"/>
  <c r="I14" i="17" s="1"/>
  <c r="D14" i="17"/>
  <c r="F10" i="17"/>
  <c r="F9" i="17"/>
  <c r="F8" i="17"/>
  <c r="E8" i="17"/>
  <c r="K10" i="17" s="1"/>
  <c r="O14" i="15"/>
  <c r="N14" i="15"/>
  <c r="M14" i="15"/>
  <c r="H14" i="15"/>
  <c r="D14" i="15"/>
  <c r="A10" i="15"/>
  <c r="F10" i="15" s="1"/>
  <c r="F9" i="15"/>
  <c r="A9" i="15"/>
  <c r="E8" i="15"/>
  <c r="E10" i="15" s="1"/>
  <c r="A8" i="15"/>
  <c r="F8" i="15" s="1"/>
  <c r="O14" i="14"/>
  <c r="N14" i="14"/>
  <c r="M14" i="14"/>
  <c r="H14" i="14"/>
  <c r="D14" i="14"/>
  <c r="F10" i="14"/>
  <c r="A10" i="14"/>
  <c r="A9" i="14"/>
  <c r="F9" i="14" s="1"/>
  <c r="F8" i="14"/>
  <c r="E8" i="14"/>
  <c r="E9" i="14" s="1"/>
  <c r="A8" i="14"/>
  <c r="O14" i="13"/>
  <c r="N14" i="13"/>
  <c r="M14" i="13"/>
  <c r="H14" i="13"/>
  <c r="F15" i="8"/>
  <c r="D14" i="13"/>
  <c r="A10" i="13"/>
  <c r="F10" i="13" s="1"/>
  <c r="F9" i="13"/>
  <c r="A9" i="13"/>
  <c r="E8" i="13"/>
  <c r="K9" i="13" s="1"/>
  <c r="A8" i="13"/>
  <c r="F8" i="13" s="1"/>
  <c r="O14" i="9"/>
  <c r="N14" i="9"/>
  <c r="M14" i="9"/>
  <c r="H14" i="9"/>
  <c r="D14" i="9"/>
  <c r="F10" i="9"/>
  <c r="A10" i="9"/>
  <c r="A9" i="9"/>
  <c r="F9" i="9" s="1"/>
  <c r="F8" i="9"/>
  <c r="E8" i="9"/>
  <c r="E10" i="9" s="1"/>
  <c r="A8" i="9"/>
  <c r="M69" i="17"/>
  <c r="AH36" i="8"/>
  <c r="AH32" i="8"/>
  <c r="AH30" i="8"/>
  <c r="AH26" i="8"/>
  <c r="AH24" i="8"/>
  <c r="AF28" i="8"/>
  <c r="AF34" i="8" s="1"/>
  <c r="AF40" i="8" s="1"/>
  <c r="AH20" i="8"/>
  <c r="AH18" i="8"/>
  <c r="M17" i="8"/>
  <c r="M18" i="16" s="1"/>
  <c r="P14" i="8"/>
  <c r="O14" i="8"/>
  <c r="N14" i="8"/>
  <c r="N17" i="8" s="1"/>
  <c r="J14" i="8"/>
  <c r="J15" i="16" s="1"/>
  <c r="I14" i="8"/>
  <c r="H14" i="8"/>
  <c r="F15" i="16"/>
  <c r="E14" i="8"/>
  <c r="E15" i="16" s="1"/>
  <c r="K12" i="8"/>
  <c r="K11" i="8"/>
  <c r="X11" i="8" s="1"/>
  <c r="S11" i="8"/>
  <c r="K10" i="8"/>
  <c r="D9" i="18"/>
  <c r="K9" i="8"/>
  <c r="D8" i="17"/>
  <c r="O8" i="8"/>
  <c r="C70" i="16"/>
  <c r="B70" i="16"/>
  <c r="C69" i="16"/>
  <c r="B69" i="16"/>
  <c r="C68" i="16"/>
  <c r="B68" i="16"/>
  <c r="C67" i="16"/>
  <c r="B67" i="16"/>
  <c r="C66" i="16"/>
  <c r="B66" i="16"/>
  <c r="C64" i="16"/>
  <c r="B64" i="16"/>
  <c r="C63" i="16"/>
  <c r="B63" i="16"/>
  <c r="C62" i="16"/>
  <c r="B62" i="16"/>
  <c r="C61" i="16"/>
  <c r="B61" i="16"/>
  <c r="C60" i="16"/>
  <c r="B60" i="16"/>
  <c r="C58" i="16"/>
  <c r="B58" i="16"/>
  <c r="C57" i="16"/>
  <c r="B57" i="16"/>
  <c r="C56" i="16"/>
  <c r="B56" i="16"/>
  <c r="C55" i="16"/>
  <c r="B55" i="16"/>
  <c r="C54" i="16"/>
  <c r="B54" i="16"/>
  <c r="C52" i="16"/>
  <c r="B52" i="16"/>
  <c r="C51" i="16"/>
  <c r="B51" i="16"/>
  <c r="C50" i="16"/>
  <c r="B50" i="16"/>
  <c r="C49" i="16"/>
  <c r="B49" i="16"/>
  <c r="C48" i="16"/>
  <c r="B48" i="16"/>
  <c r="C46" i="16"/>
  <c r="B46" i="16"/>
  <c r="C45" i="16"/>
  <c r="B45" i="16"/>
  <c r="C44" i="16"/>
  <c r="B44" i="16"/>
  <c r="C43" i="16"/>
  <c r="B43" i="16"/>
  <c r="C42" i="16"/>
  <c r="B42" i="16"/>
  <c r="C40" i="16"/>
  <c r="B40" i="16"/>
  <c r="C39" i="16"/>
  <c r="B39" i="16"/>
  <c r="C38" i="16"/>
  <c r="B38" i="16"/>
  <c r="C37" i="16"/>
  <c r="B37" i="16"/>
  <c r="C36" i="16"/>
  <c r="B36" i="16"/>
  <c r="C34" i="16"/>
  <c r="B34" i="16"/>
  <c r="C33" i="16"/>
  <c r="B33" i="16"/>
  <c r="C32" i="16"/>
  <c r="B32" i="16"/>
  <c r="C31" i="16"/>
  <c r="B31" i="16"/>
  <c r="C30" i="16"/>
  <c r="B30" i="16"/>
  <c r="C28" i="16"/>
  <c r="B28" i="16"/>
  <c r="C27" i="16"/>
  <c r="B27" i="16"/>
  <c r="C26" i="16"/>
  <c r="B26" i="16"/>
  <c r="C25" i="16"/>
  <c r="B25" i="16"/>
  <c r="C24" i="16"/>
  <c r="B24" i="16"/>
  <c r="C22" i="16"/>
  <c r="B22" i="16"/>
  <c r="C21" i="16"/>
  <c r="B21" i="16"/>
  <c r="C20" i="16"/>
  <c r="B20" i="16"/>
  <c r="C19" i="16"/>
  <c r="B19" i="16"/>
  <c r="C18" i="16"/>
  <c r="B18" i="16"/>
  <c r="M15" i="16"/>
  <c r="L15" i="16"/>
  <c r="K15" i="16"/>
  <c r="D15" i="16"/>
  <c r="C14" i="22" l="1"/>
  <c r="H15" i="16"/>
  <c r="AM34" i="8"/>
  <c r="AM22" i="8"/>
  <c r="AM40" i="8"/>
  <c r="AM28" i="8"/>
  <c r="AM46" i="8"/>
  <c r="I15" i="16"/>
  <c r="C14" i="23"/>
  <c r="E15" i="8"/>
  <c r="E16" i="16" s="1"/>
  <c r="C14" i="20"/>
  <c r="N15" i="8"/>
  <c r="N16" i="16" s="1"/>
  <c r="F16" i="16"/>
  <c r="O15" i="8"/>
  <c r="O16" i="16" s="1"/>
  <c r="P15" i="8"/>
  <c r="P16" i="16" s="1"/>
  <c r="AH34" i="8"/>
  <c r="AH40" i="8" s="1"/>
  <c r="AH46" i="8" s="1"/>
  <c r="Z2" i="8"/>
  <c r="Z5" i="8"/>
  <c r="Z8" i="8"/>
  <c r="AC22" i="8"/>
  <c r="AC34" i="8"/>
  <c r="AC40" i="8"/>
  <c r="AC28" i="8"/>
  <c r="A21" i="9" s="1"/>
  <c r="J9" i="14"/>
  <c r="J9" i="22"/>
  <c r="J9" i="20"/>
  <c r="J9" i="23"/>
  <c r="J9" i="19"/>
  <c r="J9" i="21"/>
  <c r="J8" i="18"/>
  <c r="J8" i="23"/>
  <c r="J8" i="19"/>
  <c r="J8" i="21"/>
  <c r="J8" i="20"/>
  <c r="J8" i="22"/>
  <c r="J10" i="18"/>
  <c r="J10" i="21"/>
  <c r="J10" i="22"/>
  <c r="J10" i="19"/>
  <c r="J10" i="23"/>
  <c r="J10" i="20"/>
  <c r="J11" i="15"/>
  <c r="J11" i="22"/>
  <c r="J11" i="19"/>
  <c r="J11" i="21"/>
  <c r="J11" i="23"/>
  <c r="J11" i="20"/>
  <c r="C14" i="21"/>
  <c r="M69" i="14"/>
  <c r="M69" i="15"/>
  <c r="C14" i="19"/>
  <c r="B72" i="16"/>
  <c r="U2" i="8"/>
  <c r="U3" i="8"/>
  <c r="U1" i="8"/>
  <c r="M69" i="23"/>
  <c r="M69" i="22"/>
  <c r="M69" i="19"/>
  <c r="M69" i="20"/>
  <c r="M69" i="21"/>
  <c r="M69" i="13"/>
  <c r="M69" i="9"/>
  <c r="M69" i="18"/>
  <c r="J9" i="8"/>
  <c r="C11" i="16"/>
  <c r="H10" i="8"/>
  <c r="C16" i="16"/>
  <c r="K16" i="16"/>
  <c r="AC4" i="8"/>
  <c r="I9" i="8"/>
  <c r="B5" i="8"/>
  <c r="B3" i="8"/>
  <c r="AC5" i="8"/>
  <c r="D11" i="16"/>
  <c r="I10" i="8"/>
  <c r="C12" i="16"/>
  <c r="H11" i="8"/>
  <c r="L16" i="16"/>
  <c r="B16" i="16"/>
  <c r="B73" i="16"/>
  <c r="AC3" i="8"/>
  <c r="B8" i="16"/>
  <c r="H9" i="8"/>
  <c r="M10" i="16"/>
  <c r="J10" i="8"/>
  <c r="D12" i="16"/>
  <c r="M16" i="16"/>
  <c r="R24" i="8"/>
  <c r="Y33" i="8"/>
  <c r="Y35" i="8"/>
  <c r="AB45" i="8"/>
  <c r="L45" i="8" s="1"/>
  <c r="N54" i="16"/>
  <c r="M20" i="8"/>
  <c r="M21" i="16" s="1"/>
  <c r="R29" i="8"/>
  <c r="AA33" i="8"/>
  <c r="Z35" i="8"/>
  <c r="AB36" i="8"/>
  <c r="L36" i="8" s="1"/>
  <c r="AB38" i="8"/>
  <c r="L38" i="8" s="1"/>
  <c r="R39" i="8"/>
  <c r="X40" i="8"/>
  <c r="AA42" i="8"/>
  <c r="AA17" i="8"/>
  <c r="M19" i="8"/>
  <c r="M20" i="16" s="1"/>
  <c r="AA21" i="8"/>
  <c r="AD29" i="8"/>
  <c r="N29" i="8" s="1"/>
  <c r="N30" i="16" s="1"/>
  <c r="M30" i="8"/>
  <c r="M31" i="16" s="1"/>
  <c r="X38" i="8"/>
  <c r="AD41" i="8"/>
  <c r="N41" i="8" s="1"/>
  <c r="N42" i="16" s="1"/>
  <c r="X46" i="8"/>
  <c r="Z18" i="8"/>
  <c r="X24" i="8"/>
  <c r="Y26" i="8"/>
  <c r="AA27" i="8"/>
  <c r="R30" i="8"/>
  <c r="M18" i="8"/>
  <c r="M19" i="16" s="1"/>
  <c r="Y19" i="8"/>
  <c r="R20" i="8"/>
  <c r="R21" i="8"/>
  <c r="AD21" i="8"/>
  <c r="N21" i="8" s="1"/>
  <c r="N22" i="16" s="1"/>
  <c r="R22" i="8"/>
  <c r="Y23" i="8"/>
  <c r="Y24" i="8"/>
  <c r="AA25" i="8"/>
  <c r="AA26" i="8"/>
  <c r="M27" i="8"/>
  <c r="M28" i="16" s="1"/>
  <c r="AB28" i="8"/>
  <c r="Y29" i="8"/>
  <c r="X30" i="8"/>
  <c r="Z31" i="8"/>
  <c r="Y32" i="8"/>
  <c r="AD33" i="8"/>
  <c r="N33" i="8" s="1"/>
  <c r="N34" i="16" s="1"/>
  <c r="R34" i="8"/>
  <c r="AB35" i="8"/>
  <c r="L35" i="8" s="1"/>
  <c r="R37" i="8"/>
  <c r="X43" i="8"/>
  <c r="Z44" i="8"/>
  <c r="M70" i="16"/>
  <c r="N68" i="16"/>
  <c r="M67" i="16"/>
  <c r="M62" i="16"/>
  <c r="N60" i="16"/>
  <c r="N57" i="16"/>
  <c r="M54" i="16"/>
  <c r="N52" i="16"/>
  <c r="M51" i="16"/>
  <c r="M48" i="16"/>
  <c r="AD46" i="8"/>
  <c r="R46" i="8"/>
  <c r="N45" i="8"/>
  <c r="N46" i="16" s="1"/>
  <c r="Z45" i="8"/>
  <c r="M44" i="8"/>
  <c r="M45" i="16" s="1"/>
  <c r="Y44" i="8"/>
  <c r="AA43" i="8"/>
  <c r="R43" i="8"/>
  <c r="AD42" i="8"/>
  <c r="N42" i="8" s="1"/>
  <c r="N43" i="16" s="1"/>
  <c r="Z42" i="8"/>
  <c r="AB41" i="8"/>
  <c r="L41" i="8" s="1"/>
  <c r="AB40" i="8"/>
  <c r="M39" i="8"/>
  <c r="M40" i="16" s="1"/>
  <c r="Y39" i="8"/>
  <c r="AA38" i="8"/>
  <c r="R38" i="8"/>
  <c r="M37" i="8"/>
  <c r="M38" i="16" s="1"/>
  <c r="Y37" i="8"/>
  <c r="M68" i="16"/>
  <c r="N66" i="16"/>
  <c r="N63" i="16"/>
  <c r="M60" i="16"/>
  <c r="N58" i="16"/>
  <c r="M57" i="16"/>
  <c r="N55" i="16"/>
  <c r="M52" i="16"/>
  <c r="N50" i="16"/>
  <c r="N49" i="16"/>
  <c r="AB46" i="8"/>
  <c r="M45" i="8"/>
  <c r="M46" i="16" s="1"/>
  <c r="Y45" i="8"/>
  <c r="AB44" i="8"/>
  <c r="L44" i="8" s="1"/>
  <c r="X44" i="8"/>
  <c r="AD43" i="8"/>
  <c r="N43" i="8" s="1"/>
  <c r="N44" i="16" s="1"/>
  <c r="Z43" i="8"/>
  <c r="M42" i="8"/>
  <c r="M43" i="16" s="1"/>
  <c r="Y42" i="8"/>
  <c r="AA41" i="8"/>
  <c r="R41" i="8"/>
  <c r="Z40" i="8"/>
  <c r="AB39" i="8"/>
  <c r="L39" i="8" s="1"/>
  <c r="X39" i="8"/>
  <c r="M69" i="16"/>
  <c r="M64" i="16"/>
  <c r="M61" i="16"/>
  <c r="M58" i="16"/>
  <c r="M55" i="16"/>
  <c r="X45" i="8"/>
  <c r="AA44" i="8"/>
  <c r="AB43" i="8"/>
  <c r="L43" i="8" s="1"/>
  <c r="R42" i="8"/>
  <c r="Y41" i="8"/>
  <c r="AD40" i="8"/>
  <c r="AA39" i="8"/>
  <c r="AD38" i="8"/>
  <c r="N38" i="8" s="1"/>
  <c r="N39" i="16" s="1"/>
  <c r="Y38" i="8"/>
  <c r="AD37" i="8"/>
  <c r="N37" i="8" s="1"/>
  <c r="N38" i="16" s="1"/>
  <c r="X37" i="8"/>
  <c r="M36" i="8"/>
  <c r="M37" i="16" s="1"/>
  <c r="Y36" i="8"/>
  <c r="AA35" i="8"/>
  <c r="R35" i="8"/>
  <c r="Z34" i="8"/>
  <c r="AB33" i="8"/>
  <c r="L33" i="8" s="1"/>
  <c r="X33" i="8"/>
  <c r="AD32" i="8"/>
  <c r="N32" i="8" s="1"/>
  <c r="N33" i="16" s="1"/>
  <c r="Z32" i="8"/>
  <c r="AB31" i="8"/>
  <c r="L31" i="8" s="1"/>
  <c r="X31" i="8"/>
  <c r="AD30" i="8"/>
  <c r="N30" i="8" s="1"/>
  <c r="N31" i="16" s="1"/>
  <c r="Z30" i="8"/>
  <c r="AB29" i="8"/>
  <c r="L29" i="8" s="1"/>
  <c r="X29" i="8"/>
  <c r="Z28" i="8"/>
  <c r="AB27" i="8"/>
  <c r="L27" i="8" s="1"/>
  <c r="X27" i="8"/>
  <c r="AD26" i="8"/>
  <c r="N26" i="8" s="1"/>
  <c r="N27" i="16" s="1"/>
  <c r="Z26" i="8"/>
  <c r="AB25" i="8"/>
  <c r="L25" i="8" s="1"/>
  <c r="X25" i="8"/>
  <c r="AD24" i="8"/>
  <c r="N24" i="8" s="1"/>
  <c r="N25" i="16" s="1"/>
  <c r="Z24" i="8"/>
  <c r="AB23" i="8"/>
  <c r="L23" i="8" s="1"/>
  <c r="X23" i="8"/>
  <c r="AB21" i="8"/>
  <c r="L21" i="8" s="1"/>
  <c r="N67" i="16"/>
  <c r="N64" i="16"/>
  <c r="M63" i="16"/>
  <c r="N62" i="16"/>
  <c r="N61" i="16"/>
  <c r="M56" i="16"/>
  <c r="M50" i="16"/>
  <c r="Z46" i="8"/>
  <c r="M43" i="8"/>
  <c r="M44" i="16" s="1"/>
  <c r="AB42" i="8"/>
  <c r="L42" i="8" s="1"/>
  <c r="M41" i="8"/>
  <c r="M42" i="16" s="1"/>
  <c r="Z39" i="8"/>
  <c r="Z38" i="8"/>
  <c r="AA37" i="8"/>
  <c r="AD36" i="8"/>
  <c r="N36" i="8" s="1"/>
  <c r="N37" i="16" s="1"/>
  <c r="X36" i="8"/>
  <c r="M35" i="8"/>
  <c r="M36" i="16" s="1"/>
  <c r="X35" i="8"/>
  <c r="X34" i="8"/>
  <c r="Z33" i="8"/>
  <c r="M32" i="8"/>
  <c r="M33" i="16" s="1"/>
  <c r="X32" i="8"/>
  <c r="M31" i="8"/>
  <c r="M32" i="16" s="1"/>
  <c r="R31" i="8"/>
  <c r="AA30" i="8"/>
  <c r="X28" i="8"/>
  <c r="Z27" i="8"/>
  <c r="M26" i="8"/>
  <c r="M27" i="16" s="1"/>
  <c r="X26" i="8"/>
  <c r="M25" i="8"/>
  <c r="M26" i="16" s="1"/>
  <c r="R25" i="8"/>
  <c r="AA24" i="8"/>
  <c r="Z23" i="8"/>
  <c r="X22" i="8"/>
  <c r="Z21" i="8"/>
  <c r="AB20" i="8"/>
  <c r="L20" i="8" s="1"/>
  <c r="X20" i="8"/>
  <c r="AD19" i="8"/>
  <c r="N19" i="8" s="1"/>
  <c r="N20" i="16" s="1"/>
  <c r="Z19" i="8"/>
  <c r="AB18" i="8"/>
  <c r="L18" i="8" s="1"/>
  <c r="N18" i="16"/>
  <c r="Z17" i="8"/>
  <c r="N70" i="16"/>
  <c r="AA45" i="8"/>
  <c r="R44" i="8"/>
  <c r="Y43" i="8"/>
  <c r="X42" i="8"/>
  <c r="R40" i="8"/>
  <c r="AD39" i="8"/>
  <c r="N39" i="8" s="1"/>
  <c r="N40" i="16" s="1"/>
  <c r="M66" i="16"/>
  <c r="N48" i="16"/>
  <c r="AD44" i="8"/>
  <c r="N44" i="8" s="1"/>
  <c r="N45" i="16" s="1"/>
  <c r="Z41" i="8"/>
  <c r="M38" i="8"/>
  <c r="M39" i="16" s="1"/>
  <c r="AB37" i="8"/>
  <c r="L37" i="8" s="1"/>
  <c r="AA36" i="8"/>
  <c r="AD35" i="8"/>
  <c r="N35" i="8" s="1"/>
  <c r="N36" i="16" s="1"/>
  <c r="AD34" i="8"/>
  <c r="M33" i="8"/>
  <c r="M34" i="16" s="1"/>
  <c r="AB32" i="8"/>
  <c r="L32" i="8" s="1"/>
  <c r="Y31" i="8"/>
  <c r="Y30" i="8"/>
  <c r="M29" i="8"/>
  <c r="M30" i="16" s="1"/>
  <c r="R28" i="8"/>
  <c r="AD27" i="8"/>
  <c r="N27" i="8" s="1"/>
  <c r="N28" i="16" s="1"/>
  <c r="R27" i="8"/>
  <c r="R26" i="8"/>
  <c r="Z25" i="8"/>
  <c r="AB24" i="8"/>
  <c r="L24" i="8" s="1"/>
  <c r="AD23" i="8"/>
  <c r="N23" i="8" s="1"/>
  <c r="N24" i="16" s="1"/>
  <c r="R23" i="8"/>
  <c r="Z22" i="8"/>
  <c r="Y21" i="8"/>
  <c r="AD20" i="8"/>
  <c r="N20" i="8" s="1"/>
  <c r="N21" i="16" s="1"/>
  <c r="AB19" i="8"/>
  <c r="L19" i="8" s="1"/>
  <c r="R19" i="8"/>
  <c r="AA18" i="8"/>
  <c r="Y17" i="8"/>
  <c r="AA20" i="8"/>
  <c r="AD22" i="8"/>
  <c r="M23" i="8"/>
  <c r="M24" i="16" s="1"/>
  <c r="Y27" i="8"/>
  <c r="AD31" i="8"/>
  <c r="N31" i="8" s="1"/>
  <c r="N32" i="16" s="1"/>
  <c r="Z36" i="8"/>
  <c r="M49" i="16"/>
  <c r="N51" i="16"/>
  <c r="AB17" i="8"/>
  <c r="L17" i="8" s="1"/>
  <c r="K17" i="8" s="1"/>
  <c r="M21" i="8"/>
  <c r="M22" i="16" s="1"/>
  <c r="Y25" i="8"/>
  <c r="R32" i="8"/>
  <c r="R18" i="8"/>
  <c r="AD18" i="8"/>
  <c r="N18" i="8" s="1"/>
  <c r="N19" i="16" s="1"/>
  <c r="AA19" i="8"/>
  <c r="Z20" i="8"/>
  <c r="AB22" i="8"/>
  <c r="AA23" i="8"/>
  <c r="M24" i="8"/>
  <c r="M25" i="16" s="1"/>
  <c r="AD25" i="8"/>
  <c r="N25" i="8" s="1"/>
  <c r="N26" i="16" s="1"/>
  <c r="AB26" i="8"/>
  <c r="L26" i="8" s="1"/>
  <c r="AD28" i="8"/>
  <c r="AA29" i="8"/>
  <c r="AB30" i="8"/>
  <c r="L30" i="8" s="1"/>
  <c r="AA31" i="8"/>
  <c r="AA32" i="8"/>
  <c r="R33" i="8"/>
  <c r="AB34" i="8"/>
  <c r="R36" i="8"/>
  <c r="Z37" i="8"/>
  <c r="R45" i="8"/>
  <c r="N56" i="16"/>
  <c r="Z4" i="8"/>
  <c r="N15" i="16"/>
  <c r="K8" i="14"/>
  <c r="K8" i="17"/>
  <c r="K8" i="18"/>
  <c r="K10" i="14"/>
  <c r="AA11" i="8"/>
  <c r="AB11" i="8" s="1"/>
  <c r="E9" i="13"/>
  <c r="K10" i="13"/>
  <c r="E9" i="9"/>
  <c r="Z6" i="8"/>
  <c r="K10" i="9"/>
  <c r="K8" i="13"/>
  <c r="E10" i="17"/>
  <c r="K8" i="9"/>
  <c r="K9" i="9"/>
  <c r="E10" i="18"/>
  <c r="J11" i="13"/>
  <c r="J11" i="18"/>
  <c r="J11" i="9"/>
  <c r="J11" i="14"/>
  <c r="J11" i="17"/>
  <c r="D9" i="13"/>
  <c r="J10" i="15"/>
  <c r="J10" i="14"/>
  <c r="J10" i="17"/>
  <c r="J10" i="9"/>
  <c r="J10" i="13"/>
  <c r="J9" i="17"/>
  <c r="X10" i="8"/>
  <c r="J9" i="15"/>
  <c r="J9" i="9"/>
  <c r="J9" i="18"/>
  <c r="J9" i="13"/>
  <c r="J8" i="17"/>
  <c r="J8" i="14"/>
  <c r="J8" i="9"/>
  <c r="X9" i="8"/>
  <c r="J8" i="13"/>
  <c r="J8" i="15"/>
  <c r="D10" i="9"/>
  <c r="D10" i="15"/>
  <c r="D10" i="13"/>
  <c r="D10" i="14"/>
  <c r="D10" i="17"/>
  <c r="D10" i="18"/>
  <c r="D9" i="9"/>
  <c r="D9" i="17"/>
  <c r="D9" i="14"/>
  <c r="D9" i="15"/>
  <c r="D8" i="9"/>
  <c r="D8" i="15"/>
  <c r="D8" i="18"/>
  <c r="D8" i="13"/>
  <c r="D8" i="14"/>
  <c r="N69" i="16"/>
  <c r="K10" i="15"/>
  <c r="K8" i="15"/>
  <c r="E9" i="15"/>
  <c r="K9" i="15"/>
  <c r="E10" i="14"/>
  <c r="E10" i="13"/>
  <c r="K9" i="14"/>
  <c r="K9" i="17"/>
  <c r="K9" i="18"/>
  <c r="E9" i="17"/>
  <c r="E9" i="18"/>
  <c r="W11" i="8" l="1"/>
  <c r="AA40" i="8"/>
  <c r="A33" i="9" s="1"/>
  <c r="F14" i="18"/>
  <c r="P18" i="8"/>
  <c r="G14" i="18"/>
  <c r="Z7" i="8"/>
  <c r="G14" i="23"/>
  <c r="F14" i="23"/>
  <c r="G14" i="20"/>
  <c r="F14" i="20"/>
  <c r="F14" i="22"/>
  <c r="G14" i="22"/>
  <c r="AA34" i="8"/>
  <c r="A27" i="9" s="1"/>
  <c r="AA22" i="8"/>
  <c r="A15" i="9" s="1"/>
  <c r="G14" i="21"/>
  <c r="F14" i="21"/>
  <c r="G14" i="19"/>
  <c r="F14" i="19"/>
  <c r="A57" i="23"/>
  <c r="A57" i="21"/>
  <c r="A57" i="20"/>
  <c r="A57" i="19"/>
  <c r="A57" i="22"/>
  <c r="A51" i="19"/>
  <c r="A51" i="22"/>
  <c r="A51" i="23"/>
  <c r="A51" i="21"/>
  <c r="A51" i="20"/>
  <c r="A39" i="23"/>
  <c r="A39" i="20"/>
  <c r="A39" i="19"/>
  <c r="A39" i="22"/>
  <c r="A39" i="21"/>
  <c r="A63" i="21"/>
  <c r="A63" i="20"/>
  <c r="A63" i="19"/>
  <c r="A63" i="22"/>
  <c r="A63" i="23"/>
  <c r="A45" i="20"/>
  <c r="A45" i="19"/>
  <c r="A45" i="22"/>
  <c r="A45" i="23"/>
  <c r="A45" i="21"/>
  <c r="B12" i="16"/>
  <c r="G11" i="8"/>
  <c r="B10" i="16"/>
  <c r="G9" i="8"/>
  <c r="B11" i="16"/>
  <c r="G10" i="8"/>
  <c r="B12" i="8"/>
  <c r="K63" i="16"/>
  <c r="L63" i="16"/>
  <c r="K18" i="8"/>
  <c r="K19" i="16" s="1"/>
  <c r="L19" i="16"/>
  <c r="K29" i="8"/>
  <c r="K30" i="16" s="1"/>
  <c r="L30" i="16"/>
  <c r="K36" i="8"/>
  <c r="K37" i="16" s="1"/>
  <c r="L37" i="16"/>
  <c r="K25" i="8"/>
  <c r="K26" i="16" s="1"/>
  <c r="L26" i="16"/>
  <c r="L27" i="16"/>
  <c r="K26" i="8"/>
  <c r="K27" i="16" s="1"/>
  <c r="L33" i="16"/>
  <c r="K32" i="8"/>
  <c r="K33" i="16" s="1"/>
  <c r="K54" i="16"/>
  <c r="L54" i="16"/>
  <c r="K30" i="8"/>
  <c r="K31" i="16" s="1"/>
  <c r="L31" i="16"/>
  <c r="K37" i="8"/>
  <c r="K38" i="16" s="1"/>
  <c r="L38" i="16"/>
  <c r="L43" i="16"/>
  <c r="K42" i="8"/>
  <c r="K43" i="16" s="1"/>
  <c r="K48" i="16"/>
  <c r="L48" i="16"/>
  <c r="K67" i="16"/>
  <c r="L67" i="16"/>
  <c r="K41" i="8"/>
  <c r="K42" i="16" s="1"/>
  <c r="L42" i="16"/>
  <c r="K56" i="16"/>
  <c r="L56" i="16"/>
  <c r="K69" i="16"/>
  <c r="L69" i="16"/>
  <c r="K38" i="8"/>
  <c r="K39" i="16" s="1"/>
  <c r="L39" i="16"/>
  <c r="K45" i="8"/>
  <c r="K46" i="16" s="1"/>
  <c r="L46" i="16"/>
  <c r="K18" i="16"/>
  <c r="L18" i="16"/>
  <c r="K20" i="8"/>
  <c r="K21" i="16" s="1"/>
  <c r="L21" i="16"/>
  <c r="K57" i="16"/>
  <c r="L57" i="16"/>
  <c r="K31" i="8"/>
  <c r="K32" i="16" s="1"/>
  <c r="L32" i="16"/>
  <c r="K33" i="8"/>
  <c r="K34" i="16" s="1"/>
  <c r="L34" i="16"/>
  <c r="K68" i="16"/>
  <c r="L68" i="16"/>
  <c r="K61" i="16"/>
  <c r="L61" i="16"/>
  <c r="K24" i="8"/>
  <c r="K25" i="16" s="1"/>
  <c r="L25" i="16"/>
  <c r="K58" i="16"/>
  <c r="L58" i="16"/>
  <c r="L66" i="16"/>
  <c r="K66" i="16"/>
  <c r="K23" i="8"/>
  <c r="K24" i="16" s="1"/>
  <c r="L24" i="16"/>
  <c r="K27" i="8"/>
  <c r="K28" i="16" s="1"/>
  <c r="L28" i="16"/>
  <c r="K60" i="16"/>
  <c r="L60" i="16"/>
  <c r="K39" i="8"/>
  <c r="K40" i="16" s="1"/>
  <c r="L40" i="16"/>
  <c r="K51" i="16"/>
  <c r="L51" i="16"/>
  <c r="K70" i="16"/>
  <c r="L70" i="16"/>
  <c r="K50" i="16"/>
  <c r="L50" i="16"/>
  <c r="K19" i="8"/>
  <c r="K20" i="16" s="1"/>
  <c r="L20" i="16"/>
  <c r="K52" i="16"/>
  <c r="L52" i="16"/>
  <c r="K49" i="16"/>
  <c r="L49" i="16"/>
  <c r="L55" i="16"/>
  <c r="K55" i="16"/>
  <c r="K21" i="8"/>
  <c r="K22" i="16" s="1"/>
  <c r="L22" i="16"/>
  <c r="K43" i="8"/>
  <c r="K44" i="16" s="1"/>
  <c r="L44" i="16"/>
  <c r="K44" i="8"/>
  <c r="K45" i="16" s="1"/>
  <c r="L45" i="16"/>
  <c r="K62" i="16"/>
  <c r="L62" i="16"/>
  <c r="K64" i="16"/>
  <c r="L64" i="16"/>
  <c r="L36" i="16"/>
  <c r="K35" i="8"/>
  <c r="K36" i="16" s="1"/>
  <c r="C14" i="17"/>
  <c r="C14" i="15"/>
  <c r="C14" i="13"/>
  <c r="T11" i="8"/>
  <c r="C14" i="9"/>
  <c r="F14" i="17"/>
  <c r="G14" i="14"/>
  <c r="C14" i="18"/>
  <c r="C14" i="14"/>
  <c r="F14" i="14"/>
  <c r="G14" i="17"/>
  <c r="G14" i="15"/>
  <c r="F14" i="15"/>
  <c r="F14" i="9"/>
  <c r="G14" i="9"/>
  <c r="G14" i="13"/>
  <c r="F14" i="13"/>
  <c r="A51" i="13"/>
  <c r="A51" i="14"/>
  <c r="A51" i="18"/>
  <c r="A51" i="17"/>
  <c r="A51" i="15"/>
  <c r="A51" i="9"/>
  <c r="A63" i="18"/>
  <c r="A63" i="17"/>
  <c r="A63" i="15"/>
  <c r="A63" i="9"/>
  <c r="A63" i="13"/>
  <c r="A63" i="14"/>
  <c r="A45" i="9"/>
  <c r="A45" i="13"/>
  <c r="A45" i="14"/>
  <c r="A45" i="18"/>
  <c r="A45" i="17"/>
  <c r="A45" i="15"/>
  <c r="Z3" i="8"/>
  <c r="A39" i="18"/>
  <c r="A39" i="17"/>
  <c r="A39" i="15"/>
  <c r="A39" i="13"/>
  <c r="B40" i="8" s="1"/>
  <c r="B41" i="16" s="1"/>
  <c r="A39" i="14"/>
  <c r="A57" i="14"/>
  <c r="A57" i="18"/>
  <c r="A57" i="17"/>
  <c r="A57" i="15"/>
  <c r="A57" i="9"/>
  <c r="A57" i="13"/>
  <c r="D17" i="8" l="1"/>
  <c r="AL17" i="8" s="1"/>
  <c r="AM17" i="8" s="1"/>
  <c r="D18" i="8"/>
  <c r="AL18" i="8" s="1"/>
  <c r="AM18" i="8" s="1"/>
  <c r="A21" i="20"/>
  <c r="A21" i="18"/>
  <c r="D19" i="8"/>
  <c r="D20" i="8"/>
  <c r="D15" i="8"/>
  <c r="D16" i="16" s="1"/>
  <c r="A15" i="18"/>
  <c r="A15" i="13"/>
  <c r="B16" i="8" s="1"/>
  <c r="A15" i="20"/>
  <c r="A15" i="14"/>
  <c r="A15" i="15"/>
  <c r="A15" i="23"/>
  <c r="A15" i="22"/>
  <c r="A21" i="22"/>
  <c r="B59" i="16"/>
  <c r="B46" i="8"/>
  <c r="B47" i="16" s="1"/>
  <c r="B65" i="16"/>
  <c r="A21" i="15"/>
  <c r="A21" i="21"/>
  <c r="A21" i="19"/>
  <c r="A21" i="23"/>
  <c r="A15" i="19"/>
  <c r="A21" i="14"/>
  <c r="A21" i="17"/>
  <c r="A21" i="13"/>
  <c r="B22" i="8" s="1"/>
  <c r="B23" i="16" s="1"/>
  <c r="A15" i="17"/>
  <c r="A15" i="21"/>
  <c r="B53" i="16"/>
  <c r="D44" i="8"/>
  <c r="AL44" i="8" s="1"/>
  <c r="AM44" i="8" s="1"/>
  <c r="D27" i="8"/>
  <c r="D33" i="8"/>
  <c r="AL33" i="8" s="1"/>
  <c r="AM33" i="8" s="1"/>
  <c r="D35" i="8"/>
  <c r="D42" i="8"/>
  <c r="AL42" i="8" s="1"/>
  <c r="AM42" i="8" s="1"/>
  <c r="D45" i="8"/>
  <c r="D21" i="8"/>
  <c r="D36" i="8"/>
  <c r="AL36" i="8" s="1"/>
  <c r="AM36" i="8" s="1"/>
  <c r="D43" i="8"/>
  <c r="D24" i="8"/>
  <c r="D32" i="8"/>
  <c r="AL32" i="8" s="1"/>
  <c r="AM32" i="8" s="1"/>
  <c r="D37" i="8"/>
  <c r="AL37" i="8" s="1"/>
  <c r="AM37" i="8" s="1"/>
  <c r="D38" i="8"/>
  <c r="D29" i="8"/>
  <c r="AL29" i="8" s="1"/>
  <c r="AM29" i="8" s="1"/>
  <c r="D25" i="8"/>
  <c r="AL25" i="8" s="1"/>
  <c r="AM25" i="8" s="1"/>
  <c r="D31" i="8"/>
  <c r="AL31" i="8" s="1"/>
  <c r="AM31" i="8" s="1"/>
  <c r="D23" i="8"/>
  <c r="D39" i="8"/>
  <c r="AL39" i="8" s="1"/>
  <c r="AM39" i="8" s="1"/>
  <c r="D30" i="8"/>
  <c r="D41" i="8"/>
  <c r="D26" i="8"/>
  <c r="AL26" i="8" s="1"/>
  <c r="AM26" i="8" s="1"/>
  <c r="P21" i="8"/>
  <c r="P36" i="8"/>
  <c r="P26" i="8"/>
  <c r="P43" i="8"/>
  <c r="P17" i="8"/>
  <c r="P25" i="8"/>
  <c r="P30" i="8"/>
  <c r="P32" i="8"/>
  <c r="P31" i="8"/>
  <c r="P38" i="8"/>
  <c r="P45" i="8"/>
  <c r="G61" i="16"/>
  <c r="E18" i="8" l="1"/>
  <c r="AL41" i="8"/>
  <c r="AM41" i="8" s="1"/>
  <c r="D42" i="16"/>
  <c r="F18" i="8"/>
  <c r="O24" i="8"/>
  <c r="AL24" i="8"/>
  <c r="AM24" i="8" s="1"/>
  <c r="E45" i="8"/>
  <c r="E46" i="16" s="1"/>
  <c r="AL45" i="8"/>
  <c r="AM45" i="8" s="1"/>
  <c r="F45" i="8" s="1"/>
  <c r="F46" i="16" s="1"/>
  <c r="O20" i="8"/>
  <c r="AL20" i="8"/>
  <c r="AM20" i="8" s="1"/>
  <c r="O29" i="8"/>
  <c r="O19" i="8"/>
  <c r="AL19" i="8"/>
  <c r="AM19" i="8" s="1"/>
  <c r="O43" i="8"/>
  <c r="AL43" i="8"/>
  <c r="AM43" i="8" s="1"/>
  <c r="D22" i="16"/>
  <c r="AL21" i="8"/>
  <c r="AM21" i="8" s="1"/>
  <c r="D31" i="16"/>
  <c r="AL30" i="8"/>
  <c r="AM30" i="8" s="1"/>
  <c r="D28" i="16"/>
  <c r="AL27" i="8"/>
  <c r="AM27" i="8" s="1"/>
  <c r="O38" i="8"/>
  <c r="AL38" i="8"/>
  <c r="AM38" i="8" s="1"/>
  <c r="E35" i="8"/>
  <c r="AL35" i="8"/>
  <c r="AM35" i="8" s="1"/>
  <c r="D24" i="16"/>
  <c r="AL23" i="8"/>
  <c r="AM23" i="8" s="1"/>
  <c r="E41" i="8"/>
  <c r="E42" i="16" s="1"/>
  <c r="E17" i="8"/>
  <c r="F54" i="16"/>
  <c r="D51" i="16"/>
  <c r="G54" i="16"/>
  <c r="G70" i="16"/>
  <c r="D52" i="16"/>
  <c r="G60" i="16"/>
  <c r="D49" i="16"/>
  <c r="F64" i="16"/>
  <c r="E67" i="16"/>
  <c r="E55" i="16"/>
  <c r="G57" i="16"/>
  <c r="D66" i="16"/>
  <c r="F58" i="16"/>
  <c r="D70" i="16"/>
  <c r="G48" i="16"/>
  <c r="D20" i="16"/>
  <c r="E19" i="8"/>
  <c r="O32" i="8"/>
  <c r="E32" i="8"/>
  <c r="E33" i="8"/>
  <c r="D45" i="16"/>
  <c r="E44" i="8"/>
  <c r="D26" i="16"/>
  <c r="E25" i="8"/>
  <c r="D38" i="16"/>
  <c r="E37" i="8"/>
  <c r="B17" i="16"/>
  <c r="O17" i="8"/>
  <c r="A27" i="22"/>
  <c r="A27" i="14"/>
  <c r="A27" i="17"/>
  <c r="A27" i="23"/>
  <c r="A27" i="19"/>
  <c r="A27" i="18"/>
  <c r="A27" i="13"/>
  <c r="A27" i="21"/>
  <c r="A27" i="15"/>
  <c r="A27" i="20"/>
  <c r="A33" i="21"/>
  <c r="A33" i="15"/>
  <c r="A33" i="14"/>
  <c r="A33" i="23"/>
  <c r="A33" i="22"/>
  <c r="A33" i="20"/>
  <c r="A33" i="19"/>
  <c r="A33" i="18"/>
  <c r="A33" i="13"/>
  <c r="A33" i="17"/>
  <c r="D36" i="16"/>
  <c r="D48" i="16"/>
  <c r="O35" i="8"/>
  <c r="E61" i="16"/>
  <c r="E21" i="8"/>
  <c r="O44" i="8"/>
  <c r="D61" i="16"/>
  <c r="F55" i="16"/>
  <c r="D57" i="16"/>
  <c r="F67" i="16"/>
  <c r="E64" i="16"/>
  <c r="D34" i="16"/>
  <c r="E29" i="8"/>
  <c r="E62" i="16"/>
  <c r="D21" i="16"/>
  <c r="G67" i="16"/>
  <c r="E50" i="16"/>
  <c r="F70" i="16"/>
  <c r="D58" i="16"/>
  <c r="F63" i="16"/>
  <c r="D67" i="16"/>
  <c r="F48" i="16"/>
  <c r="O33" i="8"/>
  <c r="D62" i="16"/>
  <c r="D63" i="16"/>
  <c r="D30" i="16"/>
  <c r="E38" i="8"/>
  <c r="D69" i="16"/>
  <c r="E24" i="8"/>
  <c r="D39" i="16"/>
  <c r="D50" i="16"/>
  <c r="D25" i="16"/>
  <c r="F51" i="16"/>
  <c r="E27" i="8"/>
  <c r="E54" i="16"/>
  <c r="E23" i="8"/>
  <c r="O23" i="8"/>
  <c r="D55" i="16"/>
  <c r="D54" i="16"/>
  <c r="O37" i="8"/>
  <c r="O21" i="8"/>
  <c r="E30" i="8"/>
  <c r="D64" i="16"/>
  <c r="O25" i="8"/>
  <c r="O30" i="8"/>
  <c r="F69" i="16"/>
  <c r="F49" i="16"/>
  <c r="D46" i="16"/>
  <c r="O27" i="8"/>
  <c r="E43" i="8"/>
  <c r="D44" i="16"/>
  <c r="D68" i="16"/>
  <c r="F66" i="16"/>
  <c r="O45" i="8"/>
  <c r="E36" i="8"/>
  <c r="O36" i="8"/>
  <c r="D37" i="16"/>
  <c r="O31" i="8"/>
  <c r="D32" i="16"/>
  <c r="D33" i="16"/>
  <c r="D56" i="16"/>
  <c r="E20" i="8"/>
  <c r="E31" i="8"/>
  <c r="O42" i="8"/>
  <c r="E42" i="8"/>
  <c r="D43" i="16"/>
  <c r="H48" i="16"/>
  <c r="P19" i="8"/>
  <c r="O41" i="8"/>
  <c r="P23" i="8"/>
  <c r="G50" i="16"/>
  <c r="W33" i="8"/>
  <c r="W43" i="8"/>
  <c r="G51" i="16"/>
  <c r="O39" i="8"/>
  <c r="E39" i="8"/>
  <c r="D40" i="16"/>
  <c r="O18" i="8"/>
  <c r="D19" i="16"/>
  <c r="E26" i="8"/>
  <c r="D27" i="16"/>
  <c r="O26" i="8"/>
  <c r="D60" i="16"/>
  <c r="D18" i="16"/>
  <c r="P27" i="8"/>
  <c r="G62" i="16"/>
  <c r="P33" i="8"/>
  <c r="G69" i="16"/>
  <c r="G63" i="16"/>
  <c r="P39" i="8"/>
  <c r="W18" i="8"/>
  <c r="P29" i="8"/>
  <c r="P42" i="8"/>
  <c r="W41" i="8"/>
  <c r="G49" i="16"/>
  <c r="W45" i="8"/>
  <c r="P35" i="8"/>
  <c r="G58" i="16"/>
  <c r="W35" i="8"/>
  <c r="G68" i="16"/>
  <c r="G64" i="16"/>
  <c r="P24" i="8"/>
  <c r="G66" i="16"/>
  <c r="W31" i="8"/>
  <c r="P41" i="8"/>
  <c r="G56" i="16"/>
  <c r="P44" i="8"/>
  <c r="P37" i="8"/>
  <c r="G52" i="16"/>
  <c r="W26" i="8"/>
  <c r="P20" i="8"/>
  <c r="G55" i="16"/>
  <c r="H52" i="16"/>
  <c r="W23" i="8"/>
  <c r="H51" i="16"/>
  <c r="H68" i="16"/>
  <c r="W42" i="8"/>
  <c r="H69" i="16"/>
  <c r="W29" i="8"/>
  <c r="W44" i="8"/>
  <c r="H55" i="16"/>
  <c r="W24" i="8"/>
  <c r="W27" i="8"/>
  <c r="H66" i="16"/>
  <c r="H67" i="16"/>
  <c r="W39" i="8"/>
  <c r="H61" i="16"/>
  <c r="W37" i="8"/>
  <c r="H58" i="16"/>
  <c r="W19" i="8"/>
  <c r="H56" i="16"/>
  <c r="H64" i="16"/>
  <c r="B34" i="8" l="1"/>
  <c r="B35" i="16" s="1"/>
  <c r="F35" i="8"/>
  <c r="F36" i="16" s="1"/>
  <c r="F24" i="8"/>
  <c r="F25" i="16" s="1"/>
  <c r="F41" i="8"/>
  <c r="F42" i="16" s="1"/>
  <c r="E36" i="16"/>
  <c r="F37" i="8"/>
  <c r="F38" i="16" s="1"/>
  <c r="F25" i="8"/>
  <c r="F26" i="16" s="1"/>
  <c r="F36" i="8"/>
  <c r="F37" i="16" s="1"/>
  <c r="F44" i="8"/>
  <c r="F45" i="16" s="1"/>
  <c r="F31" i="8"/>
  <c r="F32" i="16" s="1"/>
  <c r="F33" i="8"/>
  <c r="F34" i="16" s="1"/>
  <c r="F32" i="8"/>
  <c r="F33" i="16" s="1"/>
  <c r="F42" i="8"/>
  <c r="F43" i="16" s="1"/>
  <c r="F26" i="8"/>
  <c r="F27" i="16" s="1"/>
  <c r="F39" i="8"/>
  <c r="F40" i="16" s="1"/>
  <c r="F19" i="8"/>
  <c r="F20" i="16" s="1"/>
  <c r="F43" i="8"/>
  <c r="F44" i="16" s="1"/>
  <c r="E58" i="16"/>
  <c r="F17" i="8"/>
  <c r="F18" i="16" s="1"/>
  <c r="F21" i="8"/>
  <c r="F22" i="16" s="1"/>
  <c r="E18" i="16"/>
  <c r="E20" i="16"/>
  <c r="E26" i="16"/>
  <c r="E34" i="16"/>
  <c r="E24" i="16"/>
  <c r="F23" i="8"/>
  <c r="F24" i="16" s="1"/>
  <c r="F29" i="8"/>
  <c r="F30" i="16" s="1"/>
  <c r="F27" i="8"/>
  <c r="F28" i="16" s="1"/>
  <c r="E39" i="16"/>
  <c r="F38" i="8"/>
  <c r="F39" i="16" s="1"/>
  <c r="F30" i="8"/>
  <c r="F31" i="16" s="1"/>
  <c r="E21" i="16"/>
  <c r="F20" i="8"/>
  <c r="F21" i="16" s="1"/>
  <c r="B28" i="8"/>
  <c r="B29" i="16" s="1"/>
  <c r="E51" i="16"/>
  <c r="F61" i="16"/>
  <c r="E22" i="16"/>
  <c r="E45" i="16"/>
  <c r="E25" i="16"/>
  <c r="E70" i="16"/>
  <c r="I48" i="16"/>
  <c r="E48" i="16"/>
  <c r="F62" i="16"/>
  <c r="E30" i="16"/>
  <c r="E31" i="16"/>
  <c r="E69" i="16"/>
  <c r="E63" i="16"/>
  <c r="F50" i="16"/>
  <c r="E28" i="16"/>
  <c r="E38" i="16"/>
  <c r="E57" i="16"/>
  <c r="F57" i="16"/>
  <c r="F52" i="16"/>
  <c r="E52" i="16"/>
  <c r="E66" i="16"/>
  <c r="W20" i="8"/>
  <c r="E49" i="16"/>
  <c r="E32" i="16"/>
  <c r="E33" i="16"/>
  <c r="E56" i="16"/>
  <c r="F56" i="16"/>
  <c r="E43" i="16"/>
  <c r="E37" i="16"/>
  <c r="F68" i="16"/>
  <c r="E68" i="16"/>
  <c r="E44" i="16"/>
  <c r="H54" i="16"/>
  <c r="E40" i="16"/>
  <c r="E27" i="16"/>
  <c r="F60" i="16"/>
  <c r="E60" i="16"/>
  <c r="F19" i="16"/>
  <c r="E19" i="16"/>
  <c r="H63" i="16"/>
  <c r="H50" i="16"/>
  <c r="H49" i="16"/>
  <c r="H70" i="16"/>
  <c r="W38" i="8"/>
  <c r="W32" i="8"/>
  <c r="J54" i="16"/>
  <c r="H60" i="16"/>
  <c r="J49" i="16"/>
  <c r="W30" i="8"/>
  <c r="W17" i="8"/>
  <c r="W25" i="8"/>
  <c r="H62" i="16"/>
  <c r="H57" i="16"/>
  <c r="J62" i="16"/>
  <c r="W36" i="8"/>
  <c r="W21" i="8"/>
  <c r="J58" i="16"/>
  <c r="I58" i="16"/>
  <c r="J70" i="16"/>
  <c r="I70" i="16"/>
  <c r="J50" i="16"/>
  <c r="I50" i="16"/>
  <c r="J68" i="16"/>
  <c r="I68" i="16"/>
  <c r="J56" i="16"/>
  <c r="I56" i="16"/>
  <c r="J63" i="16"/>
  <c r="I63" i="16"/>
  <c r="J61" i="16"/>
  <c r="I61" i="16"/>
  <c r="J64" i="16"/>
  <c r="I64" i="16"/>
  <c r="J55" i="16"/>
  <c r="I55" i="16"/>
  <c r="J69" i="16"/>
  <c r="I69" i="16"/>
  <c r="J51" i="16"/>
  <c r="I51" i="16"/>
  <c r="J67" i="16"/>
  <c r="I67" i="16"/>
  <c r="J66" i="16"/>
  <c r="I66" i="16"/>
  <c r="J60" i="16"/>
  <c r="I60" i="16"/>
  <c r="J57" i="16"/>
  <c r="I57" i="16"/>
  <c r="J52" i="16"/>
  <c r="I52" i="16"/>
  <c r="J48" i="16" l="1"/>
  <c r="I54" i="16"/>
  <c r="I49" i="16"/>
  <c r="I6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Henson</author>
  </authors>
  <commentList>
    <comment ref="X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Unit number</t>
        </r>
      </text>
    </comment>
    <comment ref="S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Language number
</t>
        </r>
      </text>
    </comment>
  </commentList>
</comments>
</file>

<file path=xl/sharedStrings.xml><?xml version="1.0" encoding="utf-8"?>
<sst xmlns="http://schemas.openxmlformats.org/spreadsheetml/2006/main" count="410" uniqueCount="244">
  <si>
    <t>Drehzahlstufe:</t>
  </si>
  <si>
    <t>Regelspannung: [V]</t>
  </si>
  <si>
    <t>Heizen:</t>
  </si>
  <si>
    <t>Eingabefelder</t>
  </si>
  <si>
    <t>Temperaturen</t>
  </si>
  <si>
    <t>Auslegungsrandbedingungen</t>
  </si>
  <si>
    <t>Leistungsaufnahme [W]</t>
  </si>
  <si>
    <t>**Schallleistungspegel nach ISO 3741:2010</t>
  </si>
  <si>
    <t>***Schalldruckpegel bei angenommener Raumdämpfung von 8dB(A)</t>
  </si>
  <si>
    <t>Schalldruckpegel *** [dB(A)]</t>
  </si>
  <si>
    <t>Kühlen:</t>
  </si>
  <si>
    <t>n-value</t>
  </si>
  <si>
    <t>Verwarmen:</t>
  </si>
  <si>
    <t>Koelen:</t>
  </si>
  <si>
    <t>Stuurspanning: [V]</t>
  </si>
  <si>
    <t>Geluidsdruk *** [dB(A)]</t>
  </si>
  <si>
    <t>Opgenomen elektr. vermogen [W]</t>
  </si>
  <si>
    <t>Snelheidsniveau:</t>
  </si>
  <si>
    <t>Randvoorwaarden</t>
  </si>
  <si>
    <t>Invulformulier</t>
  </si>
  <si>
    <t>**Geluidsvermogen gemeten volgens ISO 3741:2010</t>
  </si>
  <si>
    <t>***Geluidsdruk bij een aangenomen ruimtedemping van 8 dB(A)</t>
  </si>
  <si>
    <t>Temperatures</t>
  </si>
  <si>
    <t>Heating:</t>
  </si>
  <si>
    <t>Cooling:</t>
  </si>
  <si>
    <t>Speed level:</t>
  </si>
  <si>
    <t>Control voltage [V]</t>
  </si>
  <si>
    <t>Sound pressure *** [dB(A)]</t>
  </si>
  <si>
    <t>Electrical power [W]</t>
  </si>
  <si>
    <t>**Sound power according to ISO 3741:2010</t>
  </si>
  <si>
    <t>***Sound pressure with an assumed room damping of 8dB(A)</t>
  </si>
  <si>
    <t>Conditions</t>
  </si>
  <si>
    <t>Niveau de vitesse</t>
  </si>
  <si>
    <t>Formulary</t>
  </si>
  <si>
    <t>Formulaire</t>
  </si>
  <si>
    <t>Voltage [V]</t>
  </si>
  <si>
    <t>Refroidir:</t>
  </si>
  <si>
    <t>Pression sonore *** [dB(A)]</t>
  </si>
  <si>
    <t>Puissance absorbée [W]</t>
  </si>
  <si>
    <t>Puissance sonore ** [dB(A)]</t>
  </si>
  <si>
    <t>**Puissance sonore testé selon ISO 3741:2010</t>
  </si>
  <si>
    <t>***Pression sonore avec une atténuation ambiante du 8dB(A)</t>
  </si>
  <si>
    <t>Geluidsvermogen ** [dB(A)]</t>
  </si>
  <si>
    <t>Sound power ** [dB(A)]</t>
  </si>
  <si>
    <t>Schallleistungspegel ** [dB(A)]</t>
  </si>
  <si>
    <t>Températures</t>
  </si>
  <si>
    <t>Chauffer:</t>
  </si>
  <si>
    <t>Q_verw</t>
  </si>
  <si>
    <t>dP_verw</t>
  </si>
  <si>
    <t>a</t>
  </si>
  <si>
    <t>b</t>
  </si>
  <si>
    <t>Temp</t>
  </si>
  <si>
    <t>Q_voelb_c</t>
  </si>
  <si>
    <t>dP_cool</t>
  </si>
  <si>
    <t>Geluid_P</t>
  </si>
  <si>
    <t>P_elek</t>
  </si>
  <si>
    <t>V_air</t>
  </si>
  <si>
    <t>*Waardes gemeten volgens EN 16430</t>
  </si>
  <si>
    <t>*Values according to EN 16430</t>
  </si>
  <si>
    <t>*Leistungsangaben nach EN 16430</t>
  </si>
  <si>
    <t>*Testé selon EN 16430</t>
  </si>
  <si>
    <t>H</t>
  </si>
  <si>
    <t>B</t>
  </si>
  <si>
    <t>L</t>
  </si>
  <si>
    <t>n- heating</t>
  </si>
  <si>
    <t>n- cooling</t>
  </si>
  <si>
    <t>8 &amp; 10</t>
  </si>
  <si>
    <t>p_atm</t>
  </si>
  <si>
    <t>CF,h</t>
  </si>
  <si>
    <t>CF,c</t>
  </si>
  <si>
    <t>h[mm]</t>
  </si>
  <si>
    <t>cf_h</t>
  </si>
  <si>
    <t>Norsk</t>
  </si>
  <si>
    <t>Français</t>
  </si>
  <si>
    <t>Deutsch</t>
  </si>
  <si>
    <t>English</t>
  </si>
  <si>
    <t>Nederlands</t>
  </si>
  <si>
    <t>Hastighet:</t>
  </si>
  <si>
    <t>Styresignal[V]</t>
  </si>
  <si>
    <t>Lydtrykk *** [dB(A)]</t>
  </si>
  <si>
    <t>Lydeffekt ** [dB(A)]</t>
  </si>
  <si>
    <t>Elektrisk effekt [W]</t>
  </si>
  <si>
    <t>Tur vanntemp.</t>
  </si>
  <si>
    <t>Retur vanntemp.</t>
  </si>
  <si>
    <t>Rom temp.</t>
  </si>
  <si>
    <t>Temperaturer</t>
  </si>
  <si>
    <t>Varme:</t>
  </si>
  <si>
    <t>Kjøling:</t>
  </si>
  <si>
    <t>Modell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</si>
  <si>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</si>
  <si>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</si>
  <si>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</si>
  <si>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</si>
  <si>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</si>
  <si>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</si>
  <si>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</si>
  <si>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</si>
  <si>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</si>
  <si>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</si>
  <si>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</si>
  <si>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13/27</t>
  </si>
  <si>
    <t>13/32</t>
  </si>
  <si>
    <t>Eenheidsstelsel</t>
  </si>
  <si>
    <t>Unit conversion</t>
  </si>
  <si>
    <t>Einheiten</t>
  </si>
  <si>
    <t>Système unitaire</t>
  </si>
  <si>
    <t>Enhetssystem</t>
  </si>
  <si>
    <t>Nivel de velocidad:</t>
  </si>
  <si>
    <t xml:space="preserve"> Voltaje control [V]</t>
  </si>
  <si>
    <t>Presión sonora *** [dB(A)]</t>
  </si>
  <si>
    <t>Potencia sonora ** [dB(A)]</t>
  </si>
  <si>
    <t>Potencia eléctrica absorbida [W]</t>
  </si>
  <si>
    <t>Convers. de unidades</t>
  </si>
  <si>
    <t>calefac.</t>
  </si>
  <si>
    <t>enfria.</t>
  </si>
  <si>
    <t>altura</t>
  </si>
  <si>
    <t>ancho</t>
  </si>
  <si>
    <t>longitud</t>
  </si>
  <si>
    <t>høyde</t>
  </si>
  <si>
    <t>bredde</t>
  </si>
  <si>
    <t>lengde</t>
  </si>
  <si>
    <t>hauteur</t>
  </si>
  <si>
    <t>largeur</t>
  </si>
  <si>
    <t>longueur</t>
  </si>
  <si>
    <t>höhe</t>
  </si>
  <si>
    <t>breite</t>
  </si>
  <si>
    <t>länge</t>
  </si>
  <si>
    <t>height</t>
  </si>
  <si>
    <t>width</t>
  </si>
  <si>
    <t>length</t>
  </si>
  <si>
    <t>hoogte</t>
  </si>
  <si>
    <t>breedte</t>
  </si>
  <si>
    <t>lengte</t>
  </si>
  <si>
    <t>Geplaatste hoogte</t>
  </si>
  <si>
    <t>Altitude</t>
  </si>
  <si>
    <t>Platzierte Höhe</t>
  </si>
  <si>
    <t>Hauteur placée</t>
  </si>
  <si>
    <t>Plassert høyde</t>
  </si>
  <si>
    <t>Altitud</t>
  </si>
  <si>
    <t>Model</t>
  </si>
  <si>
    <t>Español</t>
  </si>
  <si>
    <t>Relatieve vochtigheid</t>
  </si>
  <si>
    <t>Relative humidity</t>
  </si>
  <si>
    <t>Relative Luftfeuchtigkeit</t>
  </si>
  <si>
    <t>Humidité relative</t>
  </si>
  <si>
    <t>Relativ fuktighet</t>
  </si>
  <si>
    <t>Humedad relativa</t>
  </si>
  <si>
    <t>Temperaturas</t>
  </si>
  <si>
    <t>Calefacción:</t>
  </si>
  <si>
    <t>Agua impulsión</t>
  </si>
  <si>
    <t>Agua retorno</t>
  </si>
  <si>
    <t>Ambiente (bulbo seco)</t>
  </si>
  <si>
    <t>Enfriamiento:</t>
  </si>
  <si>
    <t>Taal/Language/Sprache</t>
  </si>
  <si>
    <t>*La potencia de enfriamiento se calcula según la norma EN 16430 con ventiladores de todas las alturas.</t>
  </si>
  <si>
    <t>**Potencia sonora según ISO 3741: 2010.</t>
  </si>
  <si>
    <t>***Nivel de presión acústica con una amortiguación ambiental supuesta de 8 dB (A).</t>
  </si>
  <si>
    <t>Kopieer alle data</t>
  </si>
  <si>
    <t>SI-eenheden</t>
  </si>
  <si>
    <t>Imperiale-eenheden</t>
  </si>
  <si>
    <t>Copy all data</t>
  </si>
  <si>
    <t>SI-units</t>
  </si>
  <si>
    <t>Imperial-units</t>
  </si>
  <si>
    <t>Kopieren Sie alle daten</t>
  </si>
  <si>
    <t>SI-einheiten</t>
  </si>
  <si>
    <t>Imperiale-einheiten</t>
  </si>
  <si>
    <t>Copier toutes des données</t>
  </si>
  <si>
    <t>Unités-SI</t>
  </si>
  <si>
    <t>Unités-Impériales</t>
  </si>
  <si>
    <t>Kopier alle data</t>
  </si>
  <si>
    <t>SI-enheter</t>
  </si>
  <si>
    <t>Imperiale-enheter</t>
  </si>
  <si>
    <t>Copiar todos los datos</t>
  </si>
  <si>
    <t>Unidades-SI</t>
  </si>
  <si>
    <t>Unidades-Imperial</t>
  </si>
  <si>
    <t>Höjd över havet</t>
  </si>
  <si>
    <t>Värme:</t>
  </si>
  <si>
    <t>Tillopp</t>
  </si>
  <si>
    <t>Retur</t>
  </si>
  <si>
    <t>Rum (torr)</t>
  </si>
  <si>
    <t>Kyla:</t>
  </si>
  <si>
    <t>rel. Fuktighet</t>
  </si>
  <si>
    <t>Fläkthastighet</t>
  </si>
  <si>
    <t>Spänning, Fläkt [V]</t>
  </si>
  <si>
    <t>Ljudtryck *** [dB(A)]</t>
  </si>
  <si>
    <t>Ljudeffekt ** [dB(A)]</t>
  </si>
  <si>
    <t>Effektförbrukning [W]</t>
  </si>
  <si>
    <t>värme!</t>
  </si>
  <si>
    <t>kyla!</t>
  </si>
  <si>
    <t>höjd</t>
  </si>
  <si>
    <t>djup</t>
  </si>
  <si>
    <t>längd</t>
  </si>
  <si>
    <t>**Ljudeffekt enligt ISO 3741: 2010</t>
  </si>
  <si>
    <t>***Ljudtryck med en antagen rumsdämpning på 8dB (A),</t>
  </si>
  <si>
    <t>*Värden enligt EN16430</t>
  </si>
  <si>
    <t>Kopírovat všechna data</t>
  </si>
  <si>
    <t>Mezinárodní (Sl)</t>
  </si>
  <si>
    <t>Imperiální</t>
  </si>
  <si>
    <t>Kopiera all data</t>
  </si>
  <si>
    <t>Imperiella-enheter</t>
  </si>
  <si>
    <t>Teploty</t>
  </si>
  <si>
    <t>topení!</t>
  </si>
  <si>
    <t>chlazení!</t>
  </si>
  <si>
    <t>Akustický tlak *** [dB(A)]</t>
  </si>
  <si>
    <t>Akustický výkon ** [dB(A)]</t>
  </si>
  <si>
    <t>Elektrický výkon [W]</t>
  </si>
  <si>
    <t>Rychlost</t>
  </si>
  <si>
    <t>Ovládací napětí [V]</t>
  </si>
  <si>
    <t>*Hodnoty podle EN16430</t>
  </si>
  <si>
    <t>**Akustický tlak podle ISO 3741:2010</t>
  </si>
  <si>
    <t>***Akustický výkon s předpokládaným útlumem místnosti 8 dB (A).</t>
  </si>
  <si>
    <t>Svenska</t>
  </si>
  <si>
    <t>Čeština</t>
  </si>
  <si>
    <t>ExtraTaal1</t>
  </si>
  <si>
    <t>ExtraTaal2</t>
  </si>
  <si>
    <t>ExtraTaal3</t>
  </si>
  <si>
    <t>Topení:</t>
  </si>
  <si>
    <t>Voda na přívodu</t>
  </si>
  <si>
    <t>Voda na zpátečce</t>
  </si>
  <si>
    <t>Chlazení:</t>
  </si>
  <si>
    <t>Relativní vlhkost</t>
  </si>
  <si>
    <t>Převod jednotek</t>
  </si>
  <si>
    <t>Výška umístění</t>
  </si>
  <si>
    <t>Langue/Språk/Lengua/Jazyk</t>
  </si>
  <si>
    <t>"Suchá" Teplota vzduchu</t>
  </si>
  <si>
    <t>Výška</t>
  </si>
  <si>
    <t>Délka</t>
  </si>
  <si>
    <t>Šířka</t>
  </si>
  <si>
    <t>Micro Canal</t>
  </si>
  <si>
    <t>Clima H8 B19</t>
  </si>
  <si>
    <t>Clima H8 B20</t>
  </si>
  <si>
    <t>Clima H8 B21</t>
  </si>
  <si>
    <t>Clima H8 B22</t>
  </si>
  <si>
    <t>Clima H8 B23</t>
  </si>
  <si>
    <t>Clima H8 B24</t>
  </si>
  <si>
    <t>Micro H8 B18</t>
  </si>
  <si>
    <t>deltap</t>
  </si>
  <si>
    <t>k1</t>
  </si>
  <si>
    <t>k2</t>
  </si>
  <si>
    <t>n</t>
  </si>
  <si>
    <t>Flow l/h</t>
  </si>
  <si>
    <t>Micro H6 B14</t>
  </si>
  <si>
    <t>Selectiontool Micro Canal</t>
  </si>
  <si>
    <t>v2022-06-01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</si>
</sst>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%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30549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5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5"/>
      <color theme="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hair">
        <color theme="0" tint="-0.34998626667073579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/>
      <diagonal/>
    </border>
    <border>
      <left style="hair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9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0" fontId="2" fillId="2" borderId="0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 applyBorder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9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0" fillId="3" borderId="0" xfId="0" applyFill="1" applyBorder="1" applyAlignment="1">
      <alignment horizontal="left"/>
    </xf>
    <xf numFmtId="0" fontId="0" fillId="2" borderId="0" xfId="0" applyFill="1" applyBorder="1" applyProtection="1">
      <protection locked="0"/>
    </xf>
    <xf numFmtId="0" fontId="1" fillId="2" borderId="0" xfId="0" applyFont="1" applyFill="1" applyBorder="1" applyProtection="1"/>
    <xf numFmtId="0" fontId="0" fillId="2" borderId="0" xfId="0" applyFill="1" applyBorder="1" applyProtection="1"/>
    <xf numFmtId="0" fontId="8" fillId="4" borderId="1" xfId="0" applyFont="1" applyFill="1" applyBorder="1" applyAlignment="1" applyProtection="1">
      <alignment horizontal="left"/>
    </xf>
    <xf numFmtId="49" fontId="7" fillId="4" borderId="10" xfId="0" applyNumberFormat="1" applyFont="1" applyFill="1" applyBorder="1" applyProtection="1"/>
    <xf numFmtId="0" fontId="6" fillId="2" borderId="0" xfId="0" applyFont="1" applyFill="1" applyBorder="1" applyProtection="1"/>
    <xf numFmtId="0" fontId="1" fillId="3" borderId="2" xfId="0" applyFont="1" applyFill="1" applyBorder="1" applyProtection="1"/>
    <xf numFmtId="0" fontId="0" fillId="3" borderId="3" xfId="0" applyFill="1" applyBorder="1" applyProtection="1"/>
    <xf numFmtId="0" fontId="0" fillId="3" borderId="4" xfId="0" applyFill="1" applyBorder="1" applyProtection="1"/>
    <xf numFmtId="0" fontId="1" fillId="3" borderId="5" xfId="0" applyFont="1" applyFill="1" applyBorder="1" applyProtection="1"/>
    <xf numFmtId="0" fontId="0" fillId="3" borderId="0" xfId="0" applyFill="1" applyBorder="1" applyProtection="1"/>
    <xf numFmtId="0" fontId="0" fillId="3" borderId="6" xfId="0" applyFill="1" applyBorder="1" applyProtection="1"/>
    <xf numFmtId="0" fontId="0" fillId="2" borderId="0" xfId="0" applyFill="1" applyProtection="1"/>
    <xf numFmtId="0" fontId="1" fillId="3" borderId="0" xfId="0" applyFont="1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5" xfId="0" applyFill="1" applyBorder="1" applyProtection="1"/>
    <xf numFmtId="9" fontId="0" fillId="4" borderId="1" xfId="0" applyNumberForma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left"/>
    </xf>
    <xf numFmtId="0" fontId="1" fillId="3" borderId="8" xfId="0" applyFont="1" applyFill="1" applyBorder="1" applyAlignment="1" applyProtection="1">
      <alignment horizontal="left"/>
    </xf>
    <xf numFmtId="0" fontId="0" fillId="3" borderId="8" xfId="0" applyFill="1" applyBorder="1" applyProtection="1"/>
    <xf numFmtId="9" fontId="0" fillId="2" borderId="5" xfId="0" applyNumberFormat="1" applyFill="1" applyBorder="1" applyProtection="1"/>
    <xf numFmtId="0" fontId="0" fillId="2" borderId="0" xfId="0" applyFill="1" applyBorder="1" applyAlignment="1" applyProtection="1">
      <alignment horizontal="center" vertical="center"/>
    </xf>
    <xf numFmtId="1" fontId="0" fillId="2" borderId="5" xfId="0" applyNumberFormat="1" applyFill="1" applyBorder="1" applyAlignment="1" applyProtection="1">
      <alignment horizontal="center" vertical="center"/>
    </xf>
    <xf numFmtId="1" fontId="0" fillId="2" borderId="0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horizontal="center" vertical="center"/>
    </xf>
    <xf numFmtId="164" fontId="9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protection locked="0"/>
    </xf>
    <xf numFmtId="0" fontId="2" fillId="2" borderId="20" xfId="0" applyFont="1" applyFill="1" applyBorder="1" applyAlignment="1" applyProtection="1">
      <alignment horizontal="center" vertical="center" textRotation="255"/>
      <protection locked="0"/>
    </xf>
    <xf numFmtId="0" fontId="2" fillId="2" borderId="21" xfId="0" applyFont="1" applyFill="1" applyBorder="1" applyAlignment="1" applyProtection="1">
      <alignment horizontal="center" vertical="center" textRotation="255"/>
      <protection locked="0"/>
    </xf>
    <xf numFmtId="0" fontId="2" fillId="2" borderId="22" xfId="0" applyFont="1" applyFill="1" applyBorder="1" applyAlignment="1" applyProtection="1">
      <alignment horizontal="center" vertical="center" textRotation="255"/>
      <protection locked="0"/>
    </xf>
    <xf numFmtId="164" fontId="0" fillId="2" borderId="5" xfId="0" applyNumberForma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</xf>
    <xf numFmtId="0" fontId="9" fillId="2" borderId="8" xfId="0" applyFont="1" applyFill="1" applyBorder="1" applyProtection="1"/>
    <xf numFmtId="1" fontId="9" fillId="2" borderId="6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164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164" fontId="15" fillId="2" borderId="0" xfId="0" applyNumberFormat="1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/>
    <xf numFmtId="0" fontId="0" fillId="3" borderId="9" xfId="0" applyFill="1" applyBorder="1" applyProtection="1"/>
    <xf numFmtId="165" fontId="18" fillId="2" borderId="8" xfId="0" applyNumberFormat="1" applyFont="1" applyFill="1" applyBorder="1" applyAlignment="1" applyProtection="1">
      <alignment horizontal="center"/>
    </xf>
    <xf numFmtId="0" fontId="18" fillId="2" borderId="8" xfId="0" applyFont="1" applyFill="1" applyBorder="1" applyProtection="1"/>
    <xf numFmtId="0" fontId="19" fillId="2" borderId="1" xfId="0" applyFont="1" applyFill="1" applyBorder="1" applyAlignment="1" applyProtection="1">
      <alignment horizontal="center" vertical="center" textRotation="255" wrapText="1"/>
      <protection locked="0"/>
    </xf>
    <xf numFmtId="2" fontId="0" fillId="2" borderId="0" xfId="0" applyNumberFormat="1" applyFill="1" applyBorder="1" applyAlignment="1" applyProtection="1">
      <alignment horizontal="center" vertical="center"/>
    </xf>
    <xf numFmtId="0" fontId="0" fillId="2" borderId="0" xfId="0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9" fillId="2" borderId="8" xfId="0" applyFont="1" applyFill="1" applyBorder="1" applyProtection="1">
      <protection hidden="1"/>
    </xf>
    <xf numFmtId="165" fontId="17" fillId="2" borderId="8" xfId="0" applyNumberFormat="1" applyFont="1" applyFill="1" applyBorder="1" applyAlignment="1" applyProtection="1">
      <alignment horizontal="center"/>
      <protection hidden="1"/>
    </xf>
    <xf numFmtId="0" fontId="17" fillId="2" borderId="8" xfId="0" applyFont="1" applyFill="1" applyBorder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textRotation="255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166" fontId="0" fillId="2" borderId="1" xfId="0" applyNumberFormat="1" applyFill="1" applyBorder="1" applyProtection="1"/>
    <xf numFmtId="0" fontId="0" fillId="2" borderId="1" xfId="0" applyFill="1" applyBorder="1" applyProtection="1"/>
    <xf numFmtId="0" fontId="0" fillId="8" borderId="0" xfId="0" applyFill="1" applyProtection="1"/>
    <xf numFmtId="0" fontId="0" fillId="8" borderId="0" xfId="0" applyFill="1" applyProtection="1">
      <protection locked="0"/>
    </xf>
    <xf numFmtId="0" fontId="0" fillId="2" borderId="31" xfId="0" applyFill="1" applyBorder="1" applyProtection="1"/>
    <xf numFmtId="0" fontId="15" fillId="2" borderId="23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0" fontId="15" fillId="2" borderId="29" xfId="0" applyFont="1" applyFill="1" applyBorder="1" applyAlignment="1" applyProtection="1">
      <alignment horizontal="center" vertical="center"/>
    </xf>
    <xf numFmtId="164" fontId="15" fillId="2" borderId="29" xfId="0" applyNumberFormat="1" applyFont="1" applyFill="1" applyBorder="1" applyAlignment="1" applyProtection="1">
      <alignment horizontal="center" vertical="center"/>
    </xf>
    <xf numFmtId="0" fontId="15" fillId="2" borderId="27" xfId="0" applyFont="1" applyFill="1" applyBorder="1" applyAlignment="1" applyProtection="1">
      <alignment horizontal="center" vertical="center"/>
    </xf>
    <xf numFmtId="0" fontId="15" fillId="2" borderId="24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164" fontId="15" fillId="2" borderId="0" xfId="0" applyNumberFormat="1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 applyProtection="1">
      <alignment horizontal="center" vertical="center"/>
    </xf>
    <xf numFmtId="0" fontId="15" fillId="5" borderId="30" xfId="0" applyFont="1" applyFill="1" applyBorder="1" applyAlignment="1" applyProtection="1">
      <alignment horizontal="center" vertical="center"/>
    </xf>
    <xf numFmtId="0" fontId="15" fillId="2" borderId="30" xfId="0" applyFont="1" applyFill="1" applyBorder="1" applyAlignment="1" applyProtection="1">
      <alignment horizontal="center" vertical="center"/>
    </xf>
    <xf numFmtId="164" fontId="15" fillId="2" borderId="30" xfId="0" applyNumberFormat="1" applyFont="1" applyFill="1" applyBorder="1" applyAlignment="1" applyProtection="1">
      <alignment horizontal="center" vertical="center"/>
    </xf>
    <xf numFmtId="0" fontId="16" fillId="7" borderId="1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16" fillId="2" borderId="27" xfId="0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16" fillId="2" borderId="10" xfId="0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66" fontId="0" fillId="2" borderId="1" xfId="0" applyNumberFormat="1" applyFill="1" applyBorder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1" fontId="2" fillId="2" borderId="29" xfId="0" applyNumberFormat="1" applyFont="1" applyFill="1" applyBorder="1" applyAlignment="1" applyProtection="1">
      <alignment horizontal="center" vertical="center"/>
    </xf>
    <xf numFmtId="0" fontId="20" fillId="3" borderId="5" xfId="0" applyFont="1" applyFill="1" applyBorder="1" applyProtection="1">
      <protection hidden="1"/>
    </xf>
    <xf numFmtId="0" fontId="0" fillId="3" borderId="0" xfId="0" applyFill="1" applyProtection="1">
      <protection hidden="1"/>
    </xf>
    <xf numFmtId="1" fontId="0" fillId="4" borderId="10" xfId="0" applyNumberFormat="1" applyFill="1" applyBorder="1" applyAlignment="1" applyProtection="1">
      <alignment horizontal="center"/>
      <protection locked="0"/>
    </xf>
    <xf numFmtId="0" fontId="0" fillId="2" borderId="31" xfId="0" applyFill="1" applyBorder="1" applyProtection="1">
      <protection locked="0"/>
    </xf>
    <xf numFmtId="0" fontId="0" fillId="3" borderId="0" xfId="0" applyFill="1" applyBorder="1" applyAlignment="1">
      <alignment horizontal="left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Border="1" applyAlignment="1" applyProtection="1">
      <alignment horizontal="center" vertical="center" textRotation="90" wrapText="1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Border="1" applyAlignment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Border="1" applyAlignment="1" applyProtection="1">
      <alignment horizontal="center" vertical="center"/>
      <protection hidden="1"/>
    </xf>
    <xf numFmtId="1" fontId="22" fillId="2" borderId="5" xfId="0" applyNumberFormat="1" applyFont="1" applyFill="1" applyBorder="1" applyAlignment="1" applyProtection="1">
      <alignment horizontal="center" vertical="center"/>
      <protection hidden="1"/>
    </xf>
    <xf numFmtId="0" fontId="22" fillId="2" borderId="0" xfId="0" applyNumberFormat="1" applyFont="1" applyFill="1" applyBorder="1" applyAlignment="1" applyProtection="1">
      <alignment horizontal="center" vertical="center"/>
      <protection hidden="1"/>
    </xf>
    <xf numFmtId="2" fontId="22" fillId="2" borderId="6" xfId="0" applyNumberFormat="1" applyFont="1" applyFill="1" applyBorder="1" applyAlignment="1" applyProtection="1">
      <alignment horizontal="center" vertical="center"/>
      <protection hidden="1"/>
    </xf>
    <xf numFmtId="1" fontId="22" fillId="2" borderId="0" xfId="0" applyNumberFormat="1" applyFont="1" applyFill="1" applyBorder="1" applyAlignment="1" applyProtection="1">
      <alignment horizontal="center" vertical="center"/>
      <protection hidden="1"/>
    </xf>
    <xf numFmtId="164" fontId="22" fillId="2" borderId="5" xfId="0" applyNumberFormat="1" applyFont="1" applyFill="1" applyBorder="1" applyAlignment="1" applyProtection="1">
      <alignment horizontal="center" vertical="center"/>
      <protection hidden="1"/>
    </xf>
    <xf numFmtId="164" fontId="22" fillId="2" borderId="6" xfId="0" applyNumberFormat="1" applyFont="1" applyFill="1" applyBorder="1" applyAlignment="1" applyProtection="1">
      <alignment horizontal="center" vertical="center"/>
      <protection hidden="1"/>
    </xf>
    <xf numFmtId="164" fontId="22" fillId="2" borderId="0" xfId="0" applyNumberFormat="1" applyFont="1" applyFill="1" applyBorder="1" applyAlignment="1" applyProtection="1">
      <alignment horizontal="center" vertical="center"/>
      <protection hidden="1"/>
    </xf>
    <xf numFmtId="1" fontId="22" fillId="2" borderId="6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horizontal="left"/>
    </xf>
    <xf numFmtId="167" fontId="0" fillId="2" borderId="0" xfId="23" applyNumberFormat="1" applyFont="1" applyFill="1" applyProtection="1">
      <protection hidden="1"/>
    </xf>
    <xf numFmtId="0" fontId="0" fillId="12" borderId="0" xfId="0" applyFill="1" applyProtection="1">
      <protection locked="0"/>
    </xf>
    <xf numFmtId="0" fontId="15" fillId="12" borderId="0" xfId="0" applyFont="1" applyFill="1" applyBorder="1" applyAlignment="1" applyProtection="1"/>
    <xf numFmtId="0" fontId="0" fillId="12" borderId="0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66" fontId="0" fillId="2" borderId="1" xfId="0" applyNumberFormat="1" applyFill="1" applyBorder="1" applyAlignment="1" applyProtection="1">
      <alignment horizontal="left"/>
    </xf>
    <xf numFmtId="0" fontId="26" fillId="2" borderId="0" xfId="0" applyFont="1" applyFill="1" applyProtection="1">
      <protection hidden="1"/>
    </xf>
    <xf numFmtId="0" fontId="27" fillId="3" borderId="40" xfId="0" applyFont="1" applyFill="1" applyBorder="1" applyAlignment="1" applyProtection="1">
      <alignment horizontal="center" vertical="center" textRotation="90" wrapText="1"/>
      <protection hidden="1"/>
    </xf>
    <xf numFmtId="0" fontId="27" fillId="3" borderId="41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6" fontId="0" fillId="9" borderId="1" xfId="0" applyNumberFormat="1" applyFill="1" applyBorder="1" applyAlignment="1" applyProtection="1">
      <alignment horizontal="center"/>
    </xf>
    <xf numFmtId="166" fontId="0" fillId="10" borderId="1" xfId="0" applyNumberFormat="1" applyFill="1" applyBorder="1" applyAlignment="1" applyProtection="1">
      <alignment horizontal="center"/>
    </xf>
    <xf numFmtId="165" fontId="18" fillId="2" borderId="0" xfId="0" applyNumberFormat="1" applyFont="1" applyFill="1" applyBorder="1" applyAlignment="1" applyProtection="1">
      <alignment horizontal="center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" fillId="3" borderId="45" xfId="0" applyFont="1" applyFill="1" applyBorder="1" applyAlignment="1" applyProtection="1">
      <alignment horizontal="center" vertical="center" textRotation="90" wrapText="1"/>
    </xf>
    <xf numFmtId="0" fontId="1" fillId="3" borderId="46" xfId="0" applyFont="1" applyFill="1" applyBorder="1" applyAlignment="1" applyProtection="1">
      <alignment horizontal="center" vertical="center" textRotation="90" wrapText="1"/>
    </xf>
    <xf numFmtId="0" fontId="11" fillId="3" borderId="45" xfId="0" applyFont="1" applyFill="1" applyBorder="1" applyAlignment="1" applyProtection="1">
      <alignment horizontal="center" vertical="center" textRotation="90" wrapText="1"/>
    </xf>
    <xf numFmtId="0" fontId="1" fillId="3" borderId="47" xfId="0" applyFont="1" applyFill="1" applyBorder="1" applyAlignment="1" applyProtection="1">
      <alignment horizontal="center" vertical="center" textRotation="90" wrapText="1"/>
    </xf>
    <xf numFmtId="0" fontId="3" fillId="3" borderId="46" xfId="0" applyFont="1" applyFill="1" applyBorder="1" applyAlignment="1" applyProtection="1">
      <alignment horizontal="center" vertical="center" textRotation="90" wrapText="1"/>
    </xf>
    <xf numFmtId="0" fontId="12" fillId="3" borderId="45" xfId="0" applyFont="1" applyFill="1" applyBorder="1" applyAlignment="1" applyProtection="1">
      <alignment horizontal="center" vertical="center" textRotation="90" wrapText="1"/>
    </xf>
    <xf numFmtId="0" fontId="12" fillId="3" borderId="47" xfId="0" applyFont="1" applyFill="1" applyBorder="1" applyAlignment="1" applyProtection="1">
      <alignment horizontal="center" vertical="center" textRotation="90" wrapText="1"/>
    </xf>
    <xf numFmtId="0" fontId="13" fillId="3" borderId="45" xfId="0" applyFont="1" applyFill="1" applyBorder="1" applyAlignment="1" applyProtection="1">
      <alignment horizontal="center" vertical="center" textRotation="90" wrapText="1"/>
    </xf>
    <xf numFmtId="0" fontId="13" fillId="3" borderId="46" xfId="0" applyFont="1" applyFill="1" applyBorder="1" applyAlignment="1" applyProtection="1">
      <alignment horizontal="center" vertical="center" textRotation="90" wrapText="1"/>
    </xf>
    <xf numFmtId="0" fontId="14" fillId="3" borderId="45" xfId="0" applyFont="1" applyFill="1" applyBorder="1" applyAlignment="1" applyProtection="1">
      <alignment horizontal="center" vertical="center" textRotation="90" wrapText="1"/>
    </xf>
    <xf numFmtId="1" fontId="0" fillId="2" borderId="10" xfId="0" applyNumberFormat="1" applyFill="1" applyBorder="1" applyProtection="1">
      <protection locked="0"/>
    </xf>
    <xf numFmtId="2" fontId="19" fillId="2" borderId="0" xfId="0" applyNumberFormat="1" applyFont="1" applyFill="1" applyAlignment="1" applyProtection="1">
      <alignment horizontal="left"/>
      <protection hidden="1"/>
    </xf>
    <xf numFmtId="165" fontId="17" fillId="2" borderId="0" xfId="0" applyNumberFormat="1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30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0" fontId="30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1" fillId="3" borderId="45" xfId="0" applyFont="1" applyFill="1" applyBorder="1" applyAlignment="1" applyProtection="1">
      <alignment horizontal="center" vertical="center" textRotation="90" wrapText="1"/>
      <protection hidden="1"/>
    </xf>
    <xf numFmtId="0" fontId="1" fillId="3" borderId="46" xfId="0" applyFont="1" applyFill="1" applyBorder="1" applyAlignment="1" applyProtection="1">
      <alignment horizontal="center" vertical="center" textRotation="90" wrapText="1"/>
      <protection hidden="1"/>
    </xf>
    <xf numFmtId="0" fontId="11" fillId="3" borderId="45" xfId="0" applyFont="1" applyFill="1" applyBorder="1" applyAlignment="1" applyProtection="1">
      <alignment horizontal="center" vertical="center" textRotation="90" wrapText="1"/>
      <protection hidden="1"/>
    </xf>
    <xf numFmtId="0" fontId="1" fillId="3" borderId="47" xfId="0" applyFont="1" applyFill="1" applyBorder="1" applyAlignment="1" applyProtection="1">
      <alignment horizontal="center" vertical="center" textRotation="90" wrapText="1"/>
      <protection hidden="1"/>
    </xf>
    <xf numFmtId="0" fontId="3" fillId="3" borderId="46" xfId="0" applyFont="1" applyFill="1" applyBorder="1" applyAlignment="1" applyProtection="1">
      <alignment horizontal="center" vertical="center" textRotation="90" wrapText="1"/>
      <protection hidden="1"/>
    </xf>
    <xf numFmtId="0" fontId="13" fillId="3" borderId="45" xfId="0" applyFont="1" applyFill="1" applyBorder="1" applyAlignment="1" applyProtection="1">
      <alignment horizontal="center" vertical="center" textRotation="90" wrapText="1"/>
      <protection hidden="1"/>
    </xf>
    <xf numFmtId="0" fontId="13" fillId="3" borderId="46" xfId="0" applyFont="1" applyFill="1" applyBorder="1" applyAlignment="1" applyProtection="1">
      <alignment horizontal="center" vertical="center" textRotation="90" wrapText="1"/>
      <protection hidden="1"/>
    </xf>
    <xf numFmtId="0" fontId="14" fillId="3" borderId="45" xfId="0" applyFont="1" applyFill="1" applyBorder="1" applyAlignment="1" applyProtection="1">
      <alignment horizontal="center" vertical="center" textRotation="90" wrapText="1"/>
      <protection hidden="1"/>
    </xf>
    <xf numFmtId="0" fontId="2" fillId="2" borderId="3" xfId="0" applyFont="1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2" fillId="2" borderId="3" xfId="0" applyFont="1" applyFill="1" applyBorder="1" applyAlignment="1" applyProtection="1">
      <alignment horizontal="right"/>
      <protection hidden="1"/>
    </xf>
    <xf numFmtId="0" fontId="32" fillId="3" borderId="45" xfId="0" applyFont="1" applyFill="1" applyBorder="1" applyAlignment="1" applyProtection="1">
      <alignment horizontal="center" vertical="center" textRotation="90" wrapText="1"/>
      <protection hidden="1"/>
    </xf>
    <xf numFmtId="0" fontId="32" fillId="3" borderId="46" xfId="0" applyFont="1" applyFill="1" applyBorder="1" applyAlignment="1" applyProtection="1">
      <alignment horizontal="center" vertical="center" textRotation="90" wrapText="1"/>
      <protection hidden="1"/>
    </xf>
    <xf numFmtId="0" fontId="32" fillId="3" borderId="45" xfId="0" applyFont="1" applyFill="1" applyBorder="1" applyAlignment="1" applyProtection="1">
      <alignment horizontal="center" vertical="center" textRotation="90" wrapText="1"/>
    </xf>
    <xf numFmtId="0" fontId="32" fillId="3" borderId="46" xfId="0" applyFont="1" applyFill="1" applyBorder="1" applyAlignment="1" applyProtection="1">
      <alignment horizontal="center" vertical="center" textRotation="90" wrapText="1"/>
    </xf>
    <xf numFmtId="0" fontId="33" fillId="3" borderId="46" xfId="0" applyFont="1" applyFill="1" applyBorder="1" applyAlignment="1" applyProtection="1">
      <alignment horizontal="center" vertical="center" textRotation="90" wrapText="1"/>
      <protection hidden="1"/>
    </xf>
    <xf numFmtId="0" fontId="33" fillId="3" borderId="47" xfId="0" applyFont="1" applyFill="1" applyBorder="1" applyAlignment="1" applyProtection="1">
      <alignment horizontal="center" vertical="center" textRotation="90" wrapText="1"/>
      <protection hidden="1"/>
    </xf>
    <xf numFmtId="0" fontId="33" fillId="3" borderId="45" xfId="0" applyFont="1" applyFill="1" applyBorder="1" applyAlignment="1" applyProtection="1">
      <alignment horizontal="center" vertical="center" textRotation="90" wrapText="1"/>
      <protection hidden="1"/>
    </xf>
    <xf numFmtId="1" fontId="9" fillId="12" borderId="2" xfId="0" applyNumberFormat="1" applyFont="1" applyFill="1" applyBorder="1" applyAlignment="1" applyProtection="1">
      <alignment horizontal="center" vertical="center"/>
    </xf>
    <xf numFmtId="1" fontId="9" fillId="12" borderId="4" xfId="0" applyNumberFormat="1" applyFont="1" applyFill="1" applyBorder="1" applyAlignment="1" applyProtection="1">
      <alignment horizontal="center" vertical="center"/>
    </xf>
    <xf numFmtId="1" fontId="9" fillId="12" borderId="5" xfId="0" applyNumberFormat="1" applyFont="1" applyFill="1" applyBorder="1" applyAlignment="1" applyProtection="1">
      <alignment horizontal="center" vertical="center"/>
    </xf>
    <xf numFmtId="1" fontId="9" fillId="12" borderId="6" xfId="0" applyNumberFormat="1" applyFont="1" applyFill="1" applyBorder="1" applyAlignment="1" applyProtection="1">
      <alignment horizontal="center" vertical="center"/>
    </xf>
    <xf numFmtId="0" fontId="33" fillId="3" borderId="46" xfId="0" applyFont="1" applyFill="1" applyBorder="1" applyAlignment="1" applyProtection="1">
      <alignment horizontal="center" vertical="center" textRotation="90" wrapText="1"/>
    </xf>
    <xf numFmtId="0" fontId="0" fillId="3" borderId="52" xfId="0" applyFill="1" applyBorder="1" applyProtection="1"/>
    <xf numFmtId="9" fontId="0" fillId="13" borderId="1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hidden="1"/>
    </xf>
    <xf numFmtId="0" fontId="31" fillId="2" borderId="0" xfId="0" applyFont="1" applyFill="1" applyBorder="1" applyAlignment="1" applyProtection="1">
      <protection hidden="1"/>
    </xf>
    <xf numFmtId="0" fontId="31" fillId="2" borderId="30" xfId="0" applyFont="1" applyFill="1" applyBorder="1" applyAlignment="1" applyProtection="1">
      <protection hidden="1"/>
    </xf>
    <xf numFmtId="0" fontId="39" fillId="2" borderId="0" xfId="0" applyFont="1" applyFill="1" applyBorder="1" applyAlignment="1" applyProtection="1">
      <alignment horizontal="center" vertical="center"/>
      <protection hidden="1"/>
    </xf>
    <xf numFmtId="1" fontId="26" fillId="2" borderId="5" xfId="0" applyNumberFormat="1" applyFont="1" applyFill="1" applyBorder="1" applyAlignment="1" applyProtection="1">
      <alignment horizontal="center" vertical="center"/>
      <protection hidden="1"/>
    </xf>
    <xf numFmtId="0" fontId="26" fillId="2" borderId="0" xfId="0" applyNumberFormat="1" applyFont="1" applyFill="1" applyBorder="1" applyAlignment="1" applyProtection="1">
      <alignment horizontal="center" vertical="center"/>
      <protection hidden="1"/>
    </xf>
    <xf numFmtId="2" fontId="26" fillId="2" borderId="6" xfId="0" applyNumberFormat="1" applyFont="1" applyFill="1" applyBorder="1" applyAlignment="1" applyProtection="1">
      <alignment horizontal="center" vertical="center"/>
      <protection hidden="1"/>
    </xf>
    <xf numFmtId="1" fontId="26" fillId="2" borderId="0" xfId="0" applyNumberFormat="1" applyFont="1" applyFill="1" applyBorder="1" applyAlignment="1" applyProtection="1">
      <alignment horizontal="center" vertical="center"/>
      <protection hidden="1"/>
    </xf>
    <xf numFmtId="2" fontId="26" fillId="2" borderId="0" xfId="0" applyNumberFormat="1" applyFont="1" applyFill="1" applyBorder="1" applyAlignment="1" applyProtection="1">
      <alignment horizontal="center" vertical="center"/>
      <protection hidden="1"/>
    </xf>
    <xf numFmtId="164" fontId="26" fillId="2" borderId="5" xfId="0" applyNumberFormat="1" applyFont="1" applyFill="1" applyBorder="1" applyAlignment="1" applyProtection="1">
      <alignment horizontal="center" vertical="center"/>
      <protection hidden="1"/>
    </xf>
    <xf numFmtId="164" fontId="26" fillId="2" borderId="6" xfId="0" applyNumberFormat="1" applyFont="1" applyFill="1" applyBorder="1" applyAlignment="1" applyProtection="1">
      <alignment horizontal="center" vertical="center"/>
      <protection hidden="1"/>
    </xf>
    <xf numFmtId="164" fontId="26" fillId="2" borderId="0" xfId="0" applyNumberFormat="1" applyFont="1" applyFill="1" applyBorder="1" applyAlignment="1" applyProtection="1">
      <alignment horizontal="center" vertical="center"/>
      <protection hidden="1"/>
    </xf>
    <xf numFmtId="1" fontId="26" fillId="2" borderId="6" xfId="0" applyNumberFormat="1" applyFont="1" applyFill="1" applyBorder="1" applyAlignment="1" applyProtection="1">
      <alignment horizontal="center" vertical="center"/>
      <protection hidden="1"/>
    </xf>
    <xf numFmtId="0" fontId="40" fillId="2" borderId="0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" fillId="2" borderId="19" xfId="0" applyFont="1" applyFill="1" applyBorder="1" applyAlignment="1" applyProtection="1">
      <alignment horizontal="center" vertical="center" textRotation="255"/>
      <protection locked="0"/>
    </xf>
    <xf numFmtId="0" fontId="42" fillId="2" borderId="0" xfId="0" applyFont="1" applyFill="1" applyProtection="1"/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43" fillId="3" borderId="0" xfId="0" applyFont="1" applyFill="1" applyBorder="1" applyProtection="1">
      <protection hidden="1"/>
    </xf>
    <xf numFmtId="0" fontId="16" fillId="2" borderId="29" xfId="0" applyFont="1" applyFill="1" applyBorder="1" applyAlignment="1" applyProtection="1">
      <alignment horizontal="center" vertical="center"/>
    </xf>
    <xf numFmtId="1" fontId="0" fillId="2" borderId="27" xfId="0" applyNumberFormat="1" applyFill="1" applyBorder="1" applyProtection="1">
      <protection locked="0"/>
    </xf>
    <xf numFmtId="166" fontId="0" fillId="2" borderId="63" xfId="0" applyNumberFormat="1" applyFill="1" applyBorder="1" applyProtection="1"/>
    <xf numFmtId="1" fontId="0" fillId="2" borderId="63" xfId="0" applyNumberFormat="1" applyFill="1" applyBorder="1" applyAlignment="1" applyProtection="1">
      <alignment horizontal="center"/>
    </xf>
    <xf numFmtId="0" fontId="15" fillId="6" borderId="63" xfId="0" applyFont="1" applyFill="1" applyBorder="1" applyAlignment="1" applyProtection="1">
      <alignment horizontal="center" vertical="center"/>
    </xf>
    <xf numFmtId="0" fontId="15" fillId="6" borderId="63" xfId="0" applyFont="1" applyFill="1" applyBorder="1" applyAlignment="1" applyProtection="1">
      <alignment horizontal="center" vertical="center"/>
      <protection locked="0"/>
    </xf>
    <xf numFmtId="167" fontId="0" fillId="2" borderId="19" xfId="23" applyNumberFormat="1" applyFont="1" applyFill="1" applyBorder="1" applyProtection="1">
      <protection hidden="1"/>
    </xf>
    <xf numFmtId="1" fontId="2" fillId="2" borderId="19" xfId="0" applyNumberFormat="1" applyFont="1" applyFill="1" applyBorder="1" applyAlignment="1" applyProtection="1">
      <alignment horizontal="center" vertical="center"/>
    </xf>
    <xf numFmtId="0" fontId="2" fillId="2" borderId="65" xfId="0" applyFont="1" applyFill="1" applyBorder="1" applyAlignment="1" applyProtection="1">
      <alignment horizontal="center" vertical="center" textRotation="255"/>
      <protection locked="0"/>
    </xf>
    <xf numFmtId="0" fontId="16" fillId="2" borderId="19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 textRotation="255"/>
      <protection locked="0"/>
    </xf>
    <xf numFmtId="0" fontId="2" fillId="2" borderId="10" xfId="0" applyFont="1" applyFill="1" applyBorder="1" applyAlignment="1" applyProtection="1">
      <alignment horizontal="center" vertical="center" textRotation="255"/>
      <protection locked="0"/>
    </xf>
    <xf numFmtId="0" fontId="0" fillId="2" borderId="24" xfId="0" applyFill="1" applyBorder="1" applyProtection="1">
      <protection locked="0"/>
    </xf>
    <xf numFmtId="0" fontId="44" fillId="14" borderId="19" xfId="0" applyFont="1" applyFill="1" applyBorder="1" applyAlignment="1" applyProtection="1">
      <alignment vertical="center"/>
    </xf>
    <xf numFmtId="0" fontId="44" fillId="14" borderId="10" xfId="0" applyFont="1" applyFill="1" applyBorder="1" applyAlignment="1" applyProtection="1">
      <alignment vertical="center"/>
    </xf>
    <xf numFmtId="0" fontId="16" fillId="2" borderId="18" xfId="0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2" fillId="2" borderId="2" xfId="0" applyNumberFormat="1" applyFont="1" applyFill="1" applyBorder="1" applyAlignment="1" applyProtection="1">
      <alignment horizontal="center" vertical="center"/>
      <protection hidden="1"/>
    </xf>
    <xf numFmtId="1" fontId="22" fillId="2" borderId="7" xfId="0" applyNumberFormat="1" applyFont="1" applyFill="1" applyBorder="1" applyAlignment="1" applyProtection="1">
      <alignment horizontal="center" vertical="center"/>
      <protection hidden="1"/>
    </xf>
    <xf numFmtId="2" fontId="22" fillId="2" borderId="0" xfId="0" applyNumberFormat="1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38" fillId="3" borderId="12" xfId="0" applyFont="1" applyFill="1" applyBorder="1" applyAlignment="1" applyProtection="1">
      <alignment horizontal="left" vertical="center"/>
      <protection hidden="1"/>
    </xf>
    <xf numFmtId="0" fontId="38" fillId="3" borderId="13" xfId="0" applyFont="1" applyFill="1" applyBorder="1" applyAlignment="1" applyProtection="1">
      <alignment horizontal="left" vertical="center"/>
      <protection hidden="1"/>
    </xf>
    <xf numFmtId="0" fontId="35" fillId="3" borderId="12" xfId="0" applyFont="1" applyFill="1" applyBorder="1" applyAlignment="1" applyProtection="1">
      <alignment horizontal="left" vertical="center"/>
      <protection hidden="1"/>
    </xf>
    <xf numFmtId="0" fontId="35" fillId="3" borderId="13" xfId="0" applyFont="1" applyFill="1" applyBorder="1" applyAlignment="1" applyProtection="1">
      <alignment horizontal="left" vertical="center"/>
      <protection hidden="1"/>
    </xf>
    <xf numFmtId="0" fontId="35" fillId="3" borderId="45" xfId="0" applyFont="1" applyFill="1" applyBorder="1" applyAlignment="1" applyProtection="1">
      <alignment horizontal="center" vertical="center" textRotation="90" wrapText="1"/>
      <protection hidden="1"/>
    </xf>
    <xf numFmtId="0" fontId="35" fillId="3" borderId="57" xfId="0" applyFont="1" applyFill="1" applyBorder="1" applyAlignment="1" applyProtection="1">
      <alignment horizontal="center" vertical="center" textRotation="90" wrapText="1"/>
      <protection hidden="1"/>
    </xf>
    <xf numFmtId="0" fontId="35" fillId="3" borderId="58" xfId="0" applyFont="1" applyFill="1" applyBorder="1" applyAlignment="1" applyProtection="1">
      <alignment horizontal="center" vertical="center" textRotation="90" wrapText="1"/>
      <protection hidden="1"/>
    </xf>
    <xf numFmtId="0" fontId="35" fillId="3" borderId="47" xfId="0" applyFont="1" applyFill="1" applyBorder="1" applyAlignment="1" applyProtection="1">
      <alignment horizontal="center" vertical="center" textRotation="90" wrapText="1"/>
      <protection hidden="1"/>
    </xf>
    <xf numFmtId="0" fontId="35" fillId="3" borderId="59" xfId="0" applyFont="1" applyFill="1" applyBorder="1" applyAlignment="1" applyProtection="1">
      <alignment horizontal="center" vertical="center" textRotation="90" wrapText="1"/>
      <protection hidden="1"/>
    </xf>
    <xf numFmtId="0" fontId="35" fillId="3" borderId="60" xfId="0" applyFont="1" applyFill="1" applyBorder="1" applyAlignment="1" applyProtection="1">
      <alignment horizontal="center" vertical="center" textRotation="90" wrapText="1"/>
      <protection hidden="1"/>
    </xf>
    <xf numFmtId="0" fontId="35" fillId="3" borderId="46" xfId="0" applyFont="1" applyFill="1" applyBorder="1" applyAlignment="1" applyProtection="1">
      <alignment horizontal="center" vertical="center" textRotation="90" wrapText="1"/>
      <protection hidden="1"/>
    </xf>
    <xf numFmtId="0" fontId="35" fillId="3" borderId="61" xfId="0" applyFont="1" applyFill="1" applyBorder="1" applyAlignment="1" applyProtection="1">
      <alignment horizontal="center" vertical="center" textRotation="90" wrapText="1"/>
      <protection hidden="1"/>
    </xf>
    <xf numFmtId="0" fontId="35" fillId="3" borderId="62" xfId="0" applyFont="1" applyFill="1" applyBorder="1" applyAlignment="1" applyProtection="1">
      <alignment horizontal="center" vertical="center" textRotation="90" wrapText="1"/>
      <protection hidden="1"/>
    </xf>
    <xf numFmtId="0" fontId="38" fillId="3" borderId="46" xfId="0" applyFont="1" applyFill="1" applyBorder="1" applyAlignment="1" applyProtection="1">
      <alignment horizontal="center" vertical="center" textRotation="90" wrapText="1"/>
      <protection hidden="1"/>
    </xf>
    <xf numFmtId="0" fontId="38" fillId="3" borderId="61" xfId="0" applyFont="1" applyFill="1" applyBorder="1" applyAlignment="1" applyProtection="1">
      <alignment horizontal="center" vertical="center" textRotation="90" wrapText="1"/>
      <protection hidden="1"/>
    </xf>
    <xf numFmtId="0" fontId="38" fillId="3" borderId="62" xfId="0" applyFont="1" applyFill="1" applyBorder="1" applyAlignment="1" applyProtection="1">
      <alignment horizontal="center" vertical="center" textRotation="90" wrapText="1"/>
      <protection hidden="1"/>
    </xf>
    <xf numFmtId="0" fontId="38" fillId="3" borderId="47" xfId="0" applyFont="1" applyFill="1" applyBorder="1" applyAlignment="1" applyProtection="1">
      <alignment horizontal="center" vertical="center" textRotation="90" wrapText="1"/>
      <protection hidden="1"/>
    </xf>
    <xf numFmtId="0" fontId="38" fillId="3" borderId="59" xfId="0" applyFont="1" applyFill="1" applyBorder="1" applyAlignment="1" applyProtection="1">
      <alignment horizontal="center" vertical="center" textRotation="90" wrapText="1"/>
      <protection hidden="1"/>
    </xf>
    <xf numFmtId="0" fontId="38" fillId="3" borderId="60" xfId="0" applyFont="1" applyFill="1" applyBorder="1" applyAlignment="1" applyProtection="1">
      <alignment horizontal="center" vertical="center" textRotation="90" wrapText="1"/>
      <protection hidden="1"/>
    </xf>
    <xf numFmtId="0" fontId="38" fillId="3" borderId="45" xfId="0" applyFont="1" applyFill="1" applyBorder="1" applyAlignment="1" applyProtection="1">
      <alignment horizontal="center" vertical="center" textRotation="90" wrapText="1"/>
      <protection hidden="1"/>
    </xf>
    <xf numFmtId="0" fontId="38" fillId="3" borderId="57" xfId="0" applyFont="1" applyFill="1" applyBorder="1" applyAlignment="1" applyProtection="1">
      <alignment horizontal="center" vertical="center" textRotation="90" wrapText="1"/>
      <protection hidden="1"/>
    </xf>
    <xf numFmtId="0" fontId="38" fillId="3" borderId="58" xfId="0" applyFont="1" applyFill="1" applyBorder="1" applyAlignment="1" applyProtection="1">
      <alignment horizontal="center" vertical="center" textRotation="90" wrapText="1"/>
      <protection hidden="1"/>
    </xf>
    <xf numFmtId="0" fontId="6" fillId="11" borderId="18" xfId="0" applyFont="1" applyFill="1" applyBorder="1" applyAlignment="1" applyProtection="1">
      <alignment horizontal="center"/>
      <protection hidden="1"/>
    </xf>
    <xf numFmtId="0" fontId="6" fillId="11" borderId="19" xfId="0" applyFont="1" applyFill="1" applyBorder="1" applyAlignment="1" applyProtection="1">
      <alignment horizontal="center"/>
      <protection hidden="1"/>
    </xf>
    <xf numFmtId="0" fontId="6" fillId="11" borderId="36" xfId="0" applyFont="1" applyFill="1" applyBorder="1" applyAlignment="1" applyProtection="1">
      <alignment horizont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6" fillId="2" borderId="56" xfId="0" applyFont="1" applyFill="1" applyBorder="1" applyAlignment="1" applyProtection="1">
      <alignment horizontal="center"/>
      <protection hidden="1"/>
    </xf>
    <xf numFmtId="0" fontId="36" fillId="2" borderId="0" xfId="0" applyFont="1" applyFill="1" applyAlignment="1" applyProtection="1">
      <alignment horizontal="center"/>
      <protection hidden="1"/>
    </xf>
    <xf numFmtId="0" fontId="37" fillId="2" borderId="0" xfId="0" applyFont="1" applyFill="1" applyBorder="1" applyAlignment="1" applyProtection="1">
      <alignment horizontal="center" vertical="center"/>
      <protection hidden="1"/>
    </xf>
    <xf numFmtId="0" fontId="34" fillId="3" borderId="53" xfId="0" applyFont="1" applyFill="1" applyBorder="1" applyAlignment="1" applyProtection="1">
      <alignment horizontal="center" vertical="top"/>
      <protection hidden="1"/>
    </xf>
    <xf numFmtId="0" fontId="34" fillId="3" borderId="54" xfId="0" applyFont="1" applyFill="1" applyBorder="1" applyAlignment="1" applyProtection="1">
      <alignment horizontal="center" vertical="top"/>
      <protection hidden="1"/>
    </xf>
    <xf numFmtId="0" fontId="34" fillId="3" borderId="55" xfId="0" applyFont="1" applyFill="1" applyBorder="1" applyAlignment="1" applyProtection="1">
      <alignment horizontal="center" vertical="top"/>
      <protection hidden="1"/>
    </xf>
    <xf numFmtId="0" fontId="0" fillId="11" borderId="18" xfId="0" applyFill="1" applyBorder="1" applyAlignment="1" applyProtection="1">
      <alignment horizontal="left"/>
      <protection hidden="1"/>
    </xf>
    <xf numFmtId="0" fontId="0" fillId="11" borderId="19" xfId="0" applyFill="1" applyBorder="1" applyAlignment="1" applyProtection="1">
      <alignment horizontal="left"/>
      <protection hidden="1"/>
    </xf>
    <xf numFmtId="0" fontId="0" fillId="11" borderId="36" xfId="0" applyFill="1" applyBorder="1" applyAlignment="1" applyProtection="1">
      <alignment horizontal="left"/>
      <protection hidden="1"/>
    </xf>
    <xf numFmtId="0" fontId="30" fillId="11" borderId="37" xfId="0" applyFont="1" applyFill="1" applyBorder="1" applyAlignment="1" applyProtection="1">
      <alignment horizontal="center"/>
      <protection hidden="1"/>
    </xf>
    <xf numFmtId="0" fontId="30" fillId="11" borderId="38" xfId="0" applyFont="1" applyFill="1" applyBorder="1" applyAlignment="1" applyProtection="1">
      <alignment horizontal="center"/>
      <protection hidden="1"/>
    </xf>
    <xf numFmtId="0" fontId="0" fillId="4" borderId="39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21" fillId="11" borderId="26" xfId="0" applyFont="1" applyFill="1" applyBorder="1" applyAlignment="1" applyProtection="1">
      <alignment horizontal="center"/>
      <protection hidden="1"/>
    </xf>
    <xf numFmtId="0" fontId="21" fillId="11" borderId="30" xfId="0" applyFont="1" applyFill="1" applyBorder="1" applyAlignment="1" applyProtection="1">
      <alignment horizontal="center"/>
      <protection hidden="1"/>
    </xf>
    <xf numFmtId="0" fontId="21" fillId="11" borderId="49" xfId="0" applyFont="1" applyFill="1" applyBorder="1" applyAlignment="1" applyProtection="1">
      <alignment horizontal="center"/>
      <protection hidden="1"/>
    </xf>
    <xf numFmtId="0" fontId="0" fillId="4" borderId="48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50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4" borderId="27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4" borderId="28" xfId="0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left"/>
      <protection hidden="1"/>
    </xf>
    <xf numFmtId="0" fontId="21" fillId="11" borderId="24" xfId="0" applyFont="1" applyFill="1" applyBorder="1" applyAlignment="1" applyProtection="1">
      <alignment horizontal="center"/>
      <protection hidden="1"/>
    </xf>
    <xf numFmtId="0" fontId="21" fillId="11" borderId="0" xfId="0" applyFont="1" applyFill="1" applyBorder="1" applyAlignment="1" applyProtection="1">
      <alignment horizontal="center"/>
      <protection hidden="1"/>
    </xf>
    <xf numFmtId="0" fontId="21" fillId="11" borderId="51" xfId="0" applyFont="1" applyFill="1" applyBorder="1" applyAlignment="1" applyProtection="1">
      <alignment horizontal="center"/>
      <protection hidden="1"/>
    </xf>
    <xf numFmtId="0" fontId="1" fillId="3" borderId="18" xfId="0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64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3" xfId="0" applyFont="1" applyFill="1" applyBorder="1" applyAlignment="1" applyProtection="1">
      <alignment horizontal="left" vertical="center"/>
    </xf>
    <xf numFmtId="0" fontId="1" fillId="7" borderId="32" xfId="0" applyFont="1" applyFill="1" applyBorder="1" applyAlignment="1" applyProtection="1">
      <alignment horizontal="center"/>
    </xf>
    <xf numFmtId="0" fontId="1" fillId="7" borderId="42" xfId="0" applyFont="1" applyFill="1" applyBorder="1" applyAlignment="1" applyProtection="1">
      <alignment horizontal="center"/>
    </xf>
    <xf numFmtId="2" fontId="8" fillId="4" borderId="34" xfId="0" applyNumberFormat="1" applyFont="1" applyFill="1" applyBorder="1" applyAlignment="1" applyProtection="1">
      <alignment horizontal="center"/>
    </xf>
    <xf numFmtId="2" fontId="8" fillId="4" borderId="43" xfId="0" applyNumberFormat="1" applyFont="1" applyFill="1" applyBorder="1" applyAlignment="1" applyProtection="1">
      <alignment horizontal="center"/>
    </xf>
    <xf numFmtId="0" fontId="1" fillId="3" borderId="52" xfId="0" applyFont="1" applyFill="1" applyBorder="1" applyAlignment="1" applyProtection="1">
      <alignment horizontal="center"/>
    </xf>
    <xf numFmtId="0" fontId="1" fillId="3" borderId="44" xfId="0" applyFont="1" applyFill="1" applyBorder="1" applyAlignment="1" applyProtection="1">
      <alignment horizontal="center"/>
    </xf>
    <xf numFmtId="2" fontId="9" fillId="3" borderId="52" xfId="0" applyNumberFormat="1" applyFont="1" applyFill="1" applyBorder="1" applyAlignment="1" applyProtection="1">
      <alignment horizontal="left"/>
    </xf>
    <xf numFmtId="2" fontId="9" fillId="3" borderId="44" xfId="0" applyNumberFormat="1" applyFont="1" applyFill="1" applyBorder="1" applyAlignment="1" applyProtection="1">
      <alignment horizontal="left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" fillId="12" borderId="18" xfId="0" applyFont="1" applyFill="1" applyBorder="1" applyAlignment="1" applyProtection="1">
      <alignment horizontal="center" vertical="center"/>
      <protection locked="0"/>
    </xf>
    <xf numFmtId="0" fontId="1" fillId="12" borderId="29" xfId="0" applyFont="1" applyFill="1" applyBorder="1" applyAlignment="1" applyProtection="1">
      <alignment horizontal="center" vertical="center"/>
      <protection locked="0"/>
    </xf>
    <xf numFmtId="0" fontId="1" fillId="12" borderId="19" xfId="0" applyFont="1" applyFill="1" applyBorder="1" applyAlignment="1" applyProtection="1">
      <alignment horizontal="center" vertical="center"/>
      <protection locked="0"/>
    </xf>
    <xf numFmtId="0" fontId="1" fillId="12" borderId="10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0" fillId="5" borderId="37" xfId="0" applyFont="1" applyFill="1" applyBorder="1" applyAlignment="1" applyProtection="1">
      <alignment horizontal="center"/>
      <protection hidden="1"/>
    </xf>
    <xf numFmtId="0" fontId="10" fillId="5" borderId="38" xfId="0" applyFont="1" applyFill="1" applyBorder="1" applyAlignment="1" applyProtection="1">
      <alignment horizontal="center"/>
      <protection hidden="1"/>
    </xf>
    <xf numFmtId="0" fontId="1" fillId="7" borderId="32" xfId="0" applyFont="1" applyFill="1" applyBorder="1" applyAlignment="1" applyProtection="1">
      <alignment horizontal="center"/>
      <protection hidden="1"/>
    </xf>
    <xf numFmtId="0" fontId="1" fillId="7" borderId="33" xfId="0" applyFont="1" applyFill="1" applyBorder="1" applyAlignment="1" applyProtection="1">
      <alignment horizontal="center"/>
      <protection hidden="1"/>
    </xf>
    <xf numFmtId="1" fontId="8" fillId="4" borderId="34" xfId="0" applyNumberFormat="1" applyFont="1" applyFill="1" applyBorder="1" applyAlignment="1" applyProtection="1">
      <alignment horizontal="center"/>
      <protection hidden="1"/>
    </xf>
    <xf numFmtId="1" fontId="8" fillId="4" borderId="35" xfId="0" applyNumberFormat="1" applyFont="1" applyFill="1" applyBorder="1" applyAlignment="1" applyProtection="1">
      <alignment horizontal="center"/>
      <protection hidden="1"/>
    </xf>
    <xf numFmtId="0" fontId="10" fillId="4" borderId="18" xfId="0" applyFont="1" applyFill="1" applyBorder="1" applyAlignment="1" applyProtection="1">
      <alignment horizontal="center"/>
      <protection hidden="1"/>
    </xf>
    <xf numFmtId="0" fontId="10" fillId="4" borderId="19" xfId="0" applyFont="1" applyFill="1" applyBorder="1" applyAlignment="1" applyProtection="1">
      <alignment horizontal="center"/>
      <protection hidden="1"/>
    </xf>
    <xf numFmtId="0" fontId="10" fillId="4" borderId="10" xfId="0" applyFont="1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</cellXfs>
  <cellStyles count="24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Procent" xfId="23" builtinId="5"/>
    <cellStyle name="Standaard" xfId="0" builtinId="0"/>
  </cellStyles>
  <dxfs count="0"/>
  <tableStyles count="0" defaultTableStyle="TableStyleMedium2" defaultPivotStyle="PivotStyleLight16"/>
  <colors>
    <mruColors>
      <color rgb="FF305496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10</xdr:row>
          <xdr:rowOff>38100</xdr:rowOff>
        </xdr:from>
        <xdr:to>
          <xdr:col>13</xdr:col>
          <xdr:colOff>447673</xdr:colOff>
          <xdr:row>13</xdr:row>
          <xdr:rowOff>47625</xdr:rowOff>
        </xdr:to>
        <xdr:grpSp>
          <xdr:nvGrpSpPr>
            <xdr:cNvPr id="7" name="Groe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4825023" y="2040792"/>
              <a:ext cx="824765" cy="587538"/>
              <a:chOff x="9363083" y="609624"/>
              <a:chExt cx="1113889" cy="476249"/>
            </a:xfrm>
          </xdr:grpSpPr>
          <xdr:sp macro="" textlink="">
            <xdr:nvSpPr>
              <xdr:cNvPr id="6149" name="rbtnSI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000-000005180000}"/>
                  </a:ext>
                </a:extLst>
              </xdr:cNvPr>
              <xdr:cNvSpPr/>
            </xdr:nvSpPr>
            <xdr:spPr bwMode="auto">
              <a:xfrm>
                <a:off x="9363083" y="609624"/>
                <a:ext cx="90718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0" name="rbtnImperial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000-000006180000}"/>
                  </a:ext>
                </a:extLst>
              </xdr:cNvPr>
              <xdr:cNvSpPr/>
            </xdr:nvSpPr>
            <xdr:spPr bwMode="auto">
              <a:xfrm>
                <a:off x="9363084" y="828698"/>
                <a:ext cx="11138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</xdr:row>
          <xdr:rowOff>9525</xdr:rowOff>
        </xdr:from>
        <xdr:to>
          <xdr:col>5</xdr:col>
          <xdr:colOff>247650</xdr:colOff>
          <xdr:row>5</xdr:row>
          <xdr:rowOff>9525</xdr:rowOff>
        </xdr:to>
        <xdr:sp macro="" textlink="">
          <xdr:nvSpPr>
            <xdr:cNvPr id="6153" name="btnCopy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48457</xdr:colOff>
      <xdr:row>1</xdr:row>
      <xdr:rowOff>0</xdr:rowOff>
    </xdr:from>
    <xdr:to>
      <xdr:col>16</xdr:col>
      <xdr:colOff>38100</xdr:colOff>
      <xdr:row>2</xdr:row>
      <xdr:rowOff>181264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7707" y="190500"/>
          <a:ext cx="894518" cy="562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U81"/>
  <sheetViews>
    <sheetView tabSelected="1" zoomScale="117" zoomScaleNormal="117" workbookViewId="0">
      <pane ySplit="16" topLeftCell="A17" activePane="bottomLeft" state="frozen"/>
      <selection pane="bottomLeft" activeCell="K4" sqref="K4:L5"/>
    </sheetView>
  </sheetViews>
  <sheetFormatPr defaultColWidth="0" defaultRowHeight="0" customHeight="1" zeroHeight="1" x14ac:dyDescent="0.25"/>
  <cols>
    <col min="1" max="1" width="2" style="113" customWidth="1"/>
    <col min="2" max="2" width="5.7109375" style="113" customWidth="1"/>
    <col min="3" max="3" width="4.140625" style="113" customWidth="1"/>
    <col min="4" max="4" width="7.28515625" style="113" customWidth="1"/>
    <col min="5" max="5" width="7.140625" style="113" customWidth="1"/>
    <col min="6" max="6" width="7.5703125" style="113" customWidth="1"/>
    <col min="7" max="7" width="7" style="113" customWidth="1"/>
    <col min="8" max="9" width="7.42578125" style="113" customWidth="1"/>
    <col min="10" max="10" width="3" style="113" hidden="1" customWidth="1"/>
    <col min="11" max="11" width="7.85546875" style="113" customWidth="1"/>
    <col min="12" max="12" width="8.140625" style="113" customWidth="1"/>
    <col min="13" max="13" width="6.28515625" style="113" customWidth="1"/>
    <col min="14" max="14" width="7" style="113" customWidth="1"/>
    <col min="15" max="16" width="0.140625" style="113" customWidth="1"/>
    <col min="17" max="17" width="2" style="113" customWidth="1"/>
    <col min="18" max="18" width="2" style="113" hidden="1" customWidth="1"/>
    <col min="19" max="19" width="3.42578125" style="113" hidden="1" customWidth="1"/>
    <col min="20" max="16384" width="0.140625" style="113" hidden="1"/>
  </cols>
  <sheetData>
    <row r="1" spans="2:19" ht="15" customHeight="1" x14ac:dyDescent="0.25">
      <c r="M1" s="317"/>
      <c r="N1" s="317"/>
      <c r="O1" s="317"/>
      <c r="P1" s="317"/>
      <c r="Q1" s="317"/>
    </row>
    <row r="2" spans="2:19" ht="30" customHeight="1" x14ac:dyDescent="0.25">
      <c r="B2" s="321" t="s">
        <v>242</v>
      </c>
      <c r="C2" s="322"/>
      <c r="D2" s="322"/>
      <c r="E2" s="322"/>
      <c r="F2" s="322"/>
      <c r="G2" s="322"/>
      <c r="H2" s="322"/>
      <c r="I2" s="322"/>
      <c r="J2" s="322"/>
      <c r="K2" s="322"/>
      <c r="L2" s="323"/>
      <c r="M2" s="318"/>
      <c r="N2" s="319"/>
      <c r="O2" s="319"/>
      <c r="P2" s="319"/>
      <c r="Q2" s="319"/>
    </row>
    <row r="3" spans="2:19" s="107" customFormat="1" ht="15" customHeight="1" x14ac:dyDescent="0.3">
      <c r="B3" s="248"/>
      <c r="C3" s="248"/>
      <c r="D3" s="248"/>
      <c r="E3" s="248"/>
      <c r="F3" s="248"/>
      <c r="G3" s="249"/>
      <c r="H3" s="249"/>
      <c r="I3" s="249"/>
      <c r="J3" s="249"/>
      <c r="K3" s="249"/>
      <c r="L3" s="249"/>
      <c r="M3" s="320"/>
      <c r="N3" s="320"/>
      <c r="O3" s="320"/>
      <c r="P3" s="320"/>
      <c r="Q3" s="320"/>
    </row>
    <row r="4" spans="2:19" s="107" customFormat="1" ht="15" x14ac:dyDescent="0.25">
      <c r="F4" s="247"/>
      <c r="G4" s="350" t="s">
        <v>153</v>
      </c>
      <c r="H4" s="351">
        <v>0</v>
      </c>
      <c r="I4" s="351">
        <v>0</v>
      </c>
      <c r="J4" s="352">
        <v>0</v>
      </c>
      <c r="K4" s="335" t="s">
        <v>75</v>
      </c>
      <c r="L4" s="336"/>
      <c r="M4" s="339"/>
      <c r="N4" s="340"/>
      <c r="O4" s="180"/>
      <c r="P4" s="180"/>
    </row>
    <row r="5" spans="2:19" s="107" customFormat="1" ht="15" x14ac:dyDescent="0.25">
      <c r="B5" s="349"/>
      <c r="C5" s="349"/>
      <c r="D5" s="349"/>
      <c r="G5" s="332" t="s">
        <v>223</v>
      </c>
      <c r="H5" s="333"/>
      <c r="I5" s="333"/>
      <c r="J5" s="334"/>
      <c r="K5" s="337"/>
      <c r="L5" s="338"/>
      <c r="M5" s="341"/>
      <c r="N5" s="342"/>
      <c r="O5" s="180"/>
      <c r="P5" s="180"/>
    </row>
    <row r="6" spans="2:19" s="107" customFormat="1" ht="15" x14ac:dyDescent="0.25">
      <c r="B6" s="108"/>
      <c r="G6" s="314" t="str">
        <f>IF(cal!$S$7=1,"Uitvoering",IF(cal!$S$7=2,"Version",IF(cal!$S$7=3,"Ausfürhung",IF(cal!$S$7=4,"Version",IF(cal!$S$7=5,"Modell",IF(cal!$S$7=6,"Version",IF(cal!$S$7=7,"Modell",IF(cal!$S$7=8,"Verze",IF(cal!$S$7=9,"Version",IF(cal!$S$7=10,"Version",IF(cal!$S$7=11,"Version",)))))))))))</f>
        <v>Version</v>
      </c>
      <c r="H6" s="315"/>
      <c r="I6" s="315"/>
      <c r="J6" s="316"/>
      <c r="K6" s="329" t="s">
        <v>241</v>
      </c>
      <c r="L6" s="330"/>
      <c r="M6" s="330"/>
      <c r="N6" s="331"/>
    </row>
    <row r="7" spans="2:19" s="107" customFormat="1" ht="6" customHeight="1" x14ac:dyDescent="0.25">
      <c r="B7" s="109"/>
      <c r="C7" s="110"/>
      <c r="D7" s="110"/>
      <c r="E7" s="110"/>
      <c r="F7" s="110"/>
      <c r="G7" s="110"/>
      <c r="H7" s="110"/>
      <c r="I7" s="110"/>
      <c r="J7" s="110"/>
      <c r="K7" s="112"/>
      <c r="L7" s="112"/>
      <c r="M7" s="112"/>
      <c r="N7" s="112"/>
      <c r="O7" s="110"/>
      <c r="P7" s="111"/>
    </row>
    <row r="8" spans="2:19" ht="15.75" x14ac:dyDescent="0.25">
      <c r="B8" s="156" t="str">
        <f>cal!B7</f>
        <v>Temperatures</v>
      </c>
      <c r="C8" s="112"/>
      <c r="D8" s="112"/>
      <c r="E8" s="112"/>
      <c r="F8" s="112"/>
      <c r="G8" s="112"/>
      <c r="H8" s="112"/>
      <c r="I8" s="112"/>
      <c r="J8" s="112"/>
      <c r="K8" s="157"/>
      <c r="L8" s="112"/>
      <c r="M8" s="112"/>
      <c r="N8" s="112"/>
      <c r="O8" s="213"/>
      <c r="P8" s="216"/>
    </row>
    <row r="9" spans="2:19" ht="15.75" x14ac:dyDescent="0.25">
      <c r="B9" s="156" t="str">
        <f>cal!B8</f>
        <v>Heating: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268">
        <v>0</v>
      </c>
      <c r="N9" s="268">
        <v>0</v>
      </c>
      <c r="O9" s="213"/>
      <c r="P9" s="217"/>
      <c r="Q9" s="211"/>
    </row>
    <row r="10" spans="2:19" ht="15.75" thickBot="1" x14ac:dyDescent="0.3">
      <c r="B10" s="324" t="str">
        <f>cal!B9</f>
        <v>Inlet temp.</v>
      </c>
      <c r="C10" s="325"/>
      <c r="D10" s="326"/>
      <c r="E10" s="158">
        <v>75</v>
      </c>
      <c r="F10" s="112"/>
      <c r="G10" s="112"/>
      <c r="H10" s="112"/>
      <c r="I10" s="112"/>
      <c r="J10" s="112"/>
      <c r="K10" s="268"/>
      <c r="L10" s="112"/>
      <c r="M10" s="327" t="str">
        <f>cal!M9</f>
        <v>Unit conversion</v>
      </c>
      <c r="N10" s="328"/>
      <c r="O10" s="214"/>
      <c r="P10" s="218"/>
    </row>
    <row r="11" spans="2:19" ht="15.75" thickTop="1" x14ac:dyDescent="0.25">
      <c r="B11" s="324" t="str">
        <f>cal!B10</f>
        <v>Return temp.</v>
      </c>
      <c r="C11" s="325">
        <f>cal!C10</f>
        <v>0</v>
      </c>
      <c r="D11" s="326">
        <f>cal!D10</f>
        <v>0</v>
      </c>
      <c r="E11" s="158">
        <v>65</v>
      </c>
      <c r="F11" s="112"/>
      <c r="G11" s="112"/>
      <c r="H11" s="112"/>
      <c r="I11" s="112"/>
      <c r="J11" s="112"/>
      <c r="K11" s="268"/>
      <c r="L11" s="112"/>
      <c r="M11" s="343"/>
      <c r="N11" s="344"/>
      <c r="O11" s="215"/>
      <c r="P11" s="219"/>
    </row>
    <row r="12" spans="2:19" ht="15" x14ac:dyDescent="0.25">
      <c r="B12" s="324" t="str">
        <f>cal!B11</f>
        <v>Room temp.</v>
      </c>
      <c r="C12" s="325">
        <f>cal!C11</f>
        <v>0</v>
      </c>
      <c r="D12" s="326">
        <f>cal!D11</f>
        <v>0</v>
      </c>
      <c r="E12" s="158">
        <v>20</v>
      </c>
      <c r="F12" s="112"/>
      <c r="G12" s="112"/>
      <c r="H12" s="112"/>
      <c r="I12" s="112"/>
      <c r="J12" s="112"/>
      <c r="K12" s="268"/>
      <c r="L12" s="112"/>
      <c r="M12" s="345"/>
      <c r="N12" s="346"/>
      <c r="O12" s="215"/>
      <c r="P12" s="219"/>
    </row>
    <row r="13" spans="2:19" ht="15" x14ac:dyDescent="0.25">
      <c r="B13" s="114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5"/>
      <c r="N13" s="346"/>
      <c r="O13" s="215"/>
      <c r="P13" s="219"/>
    </row>
    <row r="14" spans="2:19" ht="6" customHeight="1" x14ac:dyDescent="0.25">
      <c r="B14" s="115"/>
      <c r="C14" s="116"/>
      <c r="D14" s="116"/>
      <c r="E14" s="116"/>
      <c r="F14" s="117"/>
      <c r="G14" s="117"/>
      <c r="H14" s="117"/>
      <c r="I14" s="117"/>
      <c r="J14" s="117"/>
      <c r="K14" s="117"/>
      <c r="L14" s="117"/>
      <c r="M14" s="347"/>
      <c r="N14" s="348"/>
      <c r="O14" s="221"/>
      <c r="P14" s="220"/>
    </row>
    <row r="15" spans="2:19" ht="15" x14ac:dyDescent="0.25">
      <c r="B15" s="118"/>
      <c r="C15" s="118"/>
      <c r="D15" s="119">
        <f>cal!D14</f>
        <v>0</v>
      </c>
      <c r="E15" s="119">
        <f>cal!E14</f>
        <v>1</v>
      </c>
      <c r="F15" s="119">
        <f>cal!F14</f>
        <v>1</v>
      </c>
      <c r="G15" s="119">
        <v>3.4121416331000001</v>
      </c>
      <c r="H15" s="119">
        <f>cal!H14</f>
        <v>1</v>
      </c>
      <c r="I15" s="119">
        <f>cal!I14</f>
        <v>1</v>
      </c>
      <c r="J15" s="119">
        <f>cal!J14</f>
        <v>1</v>
      </c>
      <c r="K15" s="120">
        <f>cal!K14</f>
        <v>0</v>
      </c>
      <c r="L15" s="120">
        <f>cal!L14</f>
        <v>0</v>
      </c>
      <c r="M15" s="120">
        <f>cal!M14</f>
        <v>0</v>
      </c>
      <c r="N15" s="119">
        <f>cal!N14</f>
        <v>1</v>
      </c>
      <c r="O15" s="212"/>
      <c r="P15" s="212"/>
    </row>
    <row r="16" spans="2:19" s="121" customFormat="1" ht="103.7" customHeight="1" x14ac:dyDescent="0.25">
      <c r="B16" s="222" t="str">
        <f>cal!B15</f>
        <v>Speed level:</v>
      </c>
      <c r="C16" s="223" t="str">
        <f>cal!C15</f>
        <v>Control voltage [V]</v>
      </c>
      <c r="D16" s="224" t="str">
        <f>cal!D15</f>
        <v>Heat output * 75/65/20 [W]</v>
      </c>
      <c r="E16" s="225" t="str">
        <f>cal!E15</f>
        <v>Water flowrate, heating [l/h]</v>
      </c>
      <c r="F16" s="226" t="str">
        <f>cal!F15</f>
        <v>Watersided pressure loss [kPa]</v>
      </c>
      <c r="G16" s="239"/>
      <c r="H16" s="238"/>
      <c r="I16" s="225"/>
      <c r="J16" s="226"/>
      <c r="K16" s="227" t="str">
        <f>cal!K15</f>
        <v>Sound pressure *** [dB(A)]</v>
      </c>
      <c r="L16" s="228" t="str">
        <f>cal!L15</f>
        <v>Sound power ** [dB(A)]</v>
      </c>
      <c r="M16" s="233" t="str">
        <f>cal!M15</f>
        <v>Electrical power [W]</v>
      </c>
      <c r="N16" s="234" t="str">
        <f>cal!N15</f>
        <v>Air flowrate [m³/h]</v>
      </c>
      <c r="O16" s="229" t="str">
        <f>cal!O15</f>
        <v>Air exhaust temp. heating [°C]</v>
      </c>
      <c r="P16" s="237" t="str">
        <f>cal!P15</f>
        <v>Air exhaust temp. cooling [°C]</v>
      </c>
      <c r="S16" s="122"/>
    </row>
    <row r="17" spans="2:21" ht="15" customHeight="1" x14ac:dyDescent="0.25">
      <c r="B17" s="290" t="str">
        <f>cal!B16</f>
        <v>Micro Canal height 6 cm width 14 cm length 60 cm (Type 1)</v>
      </c>
      <c r="C17" s="291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5"/>
      <c r="Q17" s="169"/>
      <c r="R17" s="169"/>
      <c r="S17" s="170"/>
      <c r="T17" s="169"/>
      <c r="U17" s="169"/>
    </row>
    <row r="18" spans="2:21" ht="15" customHeight="1" x14ac:dyDescent="0.25">
      <c r="B18" s="124">
        <f>cal!B17</f>
        <v>0.2</v>
      </c>
      <c r="C18" s="125">
        <f>cal!C17</f>
        <v>2</v>
      </c>
      <c r="D18" s="171">
        <f>IF($E$10&lt;=$E$11,cal!$AC$3,cal!D17)</f>
        <v>59.699999999999996</v>
      </c>
      <c r="E18" s="172">
        <f>IF($E$10&lt;=$E$11,"",cal!E17)</f>
        <v>5</v>
      </c>
      <c r="F18" s="173">
        <f>IF($E$10&lt;=$E$11,"",cal!F17)</f>
        <v>1.1425873686146527E-3</v>
      </c>
      <c r="G18" s="296"/>
      <c r="H18" s="299"/>
      <c r="I18" s="299"/>
      <c r="J18" s="302"/>
      <c r="K18" s="175">
        <f>cal!K17</f>
        <v>13.8</v>
      </c>
      <c r="L18" s="176">
        <f>cal!L17</f>
        <v>21.8</v>
      </c>
      <c r="M18" s="177">
        <f>cal!M17</f>
        <v>0.51</v>
      </c>
      <c r="N18" s="178">
        <f>cal!N17</f>
        <v>11</v>
      </c>
      <c r="O18" s="174"/>
      <c r="P18" s="178"/>
      <c r="Q18" s="169"/>
      <c r="R18" s="169"/>
      <c r="S18" s="179"/>
      <c r="T18" s="169"/>
      <c r="U18" s="169"/>
    </row>
    <row r="19" spans="2:21" ht="15" customHeight="1" x14ac:dyDescent="0.25">
      <c r="B19" s="124">
        <f>cal!B18</f>
        <v>0.4</v>
      </c>
      <c r="C19" s="125">
        <f>cal!C18</f>
        <v>4</v>
      </c>
      <c r="D19" s="171">
        <f>IF($E$10&lt;=$E$11,cal!$AC$4,cal!D18)</f>
        <v>156.9</v>
      </c>
      <c r="E19" s="172">
        <f>IF($E$10&lt;=$E$11,"",cal!E18)</f>
        <v>13</v>
      </c>
      <c r="F19" s="173">
        <f>IF($E$10&lt;=$E$11,"",cal!F18)</f>
        <v>6.7175217997448257E-3</v>
      </c>
      <c r="G19" s="297"/>
      <c r="H19" s="300"/>
      <c r="I19" s="300"/>
      <c r="J19" s="303"/>
      <c r="K19" s="175">
        <f>cal!K18</f>
        <v>14.899999999999999</v>
      </c>
      <c r="L19" s="176">
        <f>cal!L18</f>
        <v>22.9</v>
      </c>
      <c r="M19" s="177">
        <f>cal!M18</f>
        <v>0.75</v>
      </c>
      <c r="N19" s="178">
        <f>cal!N18</f>
        <v>19</v>
      </c>
      <c r="O19" s="174"/>
      <c r="P19" s="178"/>
      <c r="Q19" s="169"/>
      <c r="R19" s="169"/>
      <c r="S19" s="179"/>
      <c r="T19" s="169"/>
      <c r="U19" s="169"/>
    </row>
    <row r="20" spans="2:21" ht="15" customHeight="1" x14ac:dyDescent="0.25">
      <c r="B20" s="124">
        <f>cal!B19</f>
        <v>0.6</v>
      </c>
      <c r="C20" s="125">
        <f>cal!C19</f>
        <v>6</v>
      </c>
      <c r="D20" s="171">
        <f>IF($E$10&lt;=$E$11,"",cal!D19)</f>
        <v>315.89999999999998</v>
      </c>
      <c r="E20" s="172">
        <f>IF($E$10&lt;=$E$11,"",cal!E19)</f>
        <v>27</v>
      </c>
      <c r="F20" s="173">
        <f>IF($E$10&lt;=$E$11,"",cal!F19)</f>
        <v>2.4300253860054872E-2</v>
      </c>
      <c r="G20" s="297"/>
      <c r="H20" s="300"/>
      <c r="I20" s="300"/>
      <c r="J20" s="303"/>
      <c r="K20" s="175">
        <f>cal!K19</f>
        <v>18.8</v>
      </c>
      <c r="L20" s="176">
        <f>cal!L19</f>
        <v>26.8</v>
      </c>
      <c r="M20" s="177">
        <f>cal!M19</f>
        <v>1.17</v>
      </c>
      <c r="N20" s="178">
        <f>cal!N19</f>
        <v>29</v>
      </c>
      <c r="O20" s="174"/>
      <c r="P20" s="178"/>
      <c r="Q20" s="169"/>
      <c r="R20" s="169"/>
      <c r="S20" s="179"/>
      <c r="T20" s="169"/>
      <c r="U20" s="169"/>
    </row>
    <row r="21" spans="2:21" ht="15" customHeight="1" x14ac:dyDescent="0.25">
      <c r="B21" s="124">
        <f>cal!B20</f>
        <v>0.8</v>
      </c>
      <c r="C21" s="125">
        <f>cal!C20</f>
        <v>8</v>
      </c>
      <c r="D21" s="171">
        <f>IF($E$10&lt;=$E$11,"",cal!D20)</f>
        <v>420.9</v>
      </c>
      <c r="E21" s="172">
        <f>IF($E$10&lt;=$E$11,"",cal!E20)</f>
        <v>36</v>
      </c>
      <c r="F21" s="173">
        <f>IF($E$10&lt;=$E$11,"",cal!F20)</f>
        <v>4.1201808913652688E-2</v>
      </c>
      <c r="G21" s="297"/>
      <c r="H21" s="300"/>
      <c r="I21" s="300"/>
      <c r="J21" s="303"/>
      <c r="K21" s="175">
        <f>cal!K20</f>
        <v>31.6</v>
      </c>
      <c r="L21" s="176">
        <f>cal!L20</f>
        <v>39.6</v>
      </c>
      <c r="M21" s="177">
        <f>cal!M20</f>
        <v>1.79</v>
      </c>
      <c r="N21" s="178">
        <f>cal!N20</f>
        <v>40</v>
      </c>
      <c r="O21" s="174"/>
      <c r="P21" s="178"/>
      <c r="Q21" s="169"/>
      <c r="R21" s="169"/>
      <c r="S21" s="179"/>
      <c r="T21" s="169"/>
      <c r="U21" s="169"/>
    </row>
    <row r="22" spans="2:21" ht="15" customHeight="1" x14ac:dyDescent="0.25">
      <c r="B22" s="124">
        <f>cal!B21</f>
        <v>1</v>
      </c>
      <c r="C22" s="125">
        <f>cal!C21</f>
        <v>10</v>
      </c>
      <c r="D22" s="171">
        <f>IF($E$10&lt;=$E$11,"",cal!D21)</f>
        <v>494.7</v>
      </c>
      <c r="E22" s="172">
        <f>IF($E$10&lt;=$E$11,"",cal!E21)</f>
        <v>43</v>
      </c>
      <c r="F22" s="173">
        <f>IF($E$10&lt;=$E$11,"",cal!F21)</f>
        <v>5.5474898550123948E-2</v>
      </c>
      <c r="G22" s="298"/>
      <c r="H22" s="301"/>
      <c r="I22" s="301"/>
      <c r="J22" s="304"/>
      <c r="K22" s="175">
        <f>cal!K21</f>
        <v>39.200000000000003</v>
      </c>
      <c r="L22" s="176">
        <f>cal!L21</f>
        <v>47.2</v>
      </c>
      <c r="M22" s="177">
        <f>cal!M21</f>
        <v>2.67</v>
      </c>
      <c r="N22" s="178">
        <f>cal!N21</f>
        <v>65</v>
      </c>
      <c r="O22" s="174"/>
      <c r="P22" s="178"/>
      <c r="Q22" s="169"/>
      <c r="R22" s="169"/>
      <c r="S22" s="179"/>
      <c r="T22" s="169"/>
      <c r="U22" s="169"/>
    </row>
    <row r="23" spans="2:21" ht="15" customHeight="1" x14ac:dyDescent="0.25">
      <c r="B23" s="290" t="str">
        <f>cal!B22</f>
        <v>Micro Canal height 6 cm width 14 cm length 95 cm (Type 2)</v>
      </c>
      <c r="C23" s="291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5"/>
      <c r="Q23" s="169"/>
      <c r="R23" s="169"/>
      <c r="S23" s="170"/>
      <c r="T23" s="169"/>
      <c r="U23" s="169"/>
    </row>
    <row r="24" spans="2:21" ht="15" customHeight="1" x14ac:dyDescent="0.25">
      <c r="B24" s="124">
        <f>cal!B23</f>
        <v>0.2</v>
      </c>
      <c r="C24" s="125">
        <f>cal!C23</f>
        <v>2</v>
      </c>
      <c r="D24" s="171">
        <f>IF($E$10&lt;=$E$11,cal!$AC$3,cal!D23)</f>
        <v>129.35</v>
      </c>
      <c r="E24" s="172">
        <f>IF($E$10&lt;=$E$11,"",cal!E23)</f>
        <v>11</v>
      </c>
      <c r="F24" s="173">
        <f>IF($E$10&lt;=$E$11,"",cal!F23)</f>
        <v>8.1804988909735012E-3</v>
      </c>
      <c r="G24" s="296"/>
      <c r="H24" s="299"/>
      <c r="I24" s="299"/>
      <c r="J24" s="302"/>
      <c r="K24" s="175">
        <f>cal!K23</f>
        <v>14.3</v>
      </c>
      <c r="L24" s="176">
        <f>cal!L23</f>
        <v>22.3</v>
      </c>
      <c r="M24" s="177">
        <f>cal!M23</f>
        <v>0.52</v>
      </c>
      <c r="N24" s="178">
        <f>cal!N23</f>
        <v>18</v>
      </c>
      <c r="O24" s="174"/>
      <c r="P24" s="178"/>
      <c r="Q24" s="169"/>
      <c r="R24" s="169"/>
      <c r="S24" s="179"/>
      <c r="T24" s="169"/>
      <c r="U24" s="169"/>
    </row>
    <row r="25" spans="2:21" ht="15" customHeight="1" x14ac:dyDescent="0.25">
      <c r="B25" s="124">
        <f>cal!B24</f>
        <v>0.4</v>
      </c>
      <c r="C25" s="125">
        <f>cal!C24</f>
        <v>4</v>
      </c>
      <c r="D25" s="171">
        <f>IF($E$10&lt;=$E$11,cal!$AC$4,cal!D24)</f>
        <v>339.95</v>
      </c>
      <c r="E25" s="172">
        <f>IF($E$10&lt;=$E$11,"",cal!E24)</f>
        <v>29</v>
      </c>
      <c r="F25" s="173">
        <f>IF($E$10&lt;=$E$11,"",cal!F24)</f>
        <v>4.7659438328917308E-2</v>
      </c>
      <c r="G25" s="297"/>
      <c r="H25" s="300"/>
      <c r="I25" s="300"/>
      <c r="J25" s="303"/>
      <c r="K25" s="175">
        <f>cal!K24</f>
        <v>17.399999999999999</v>
      </c>
      <c r="L25" s="176">
        <f>cal!L24</f>
        <v>25.4</v>
      </c>
      <c r="M25" s="177">
        <f>cal!M24</f>
        <v>0.87</v>
      </c>
      <c r="N25" s="178">
        <f>cal!N24</f>
        <v>30</v>
      </c>
      <c r="O25" s="174"/>
      <c r="P25" s="178"/>
      <c r="Q25" s="169"/>
      <c r="R25" s="169"/>
      <c r="S25" s="179"/>
      <c r="T25" s="169"/>
      <c r="U25" s="169"/>
    </row>
    <row r="26" spans="2:21" ht="15" customHeight="1" x14ac:dyDescent="0.25">
      <c r="B26" s="124">
        <f>cal!B25</f>
        <v>0.6</v>
      </c>
      <c r="C26" s="125">
        <f>cal!C25</f>
        <v>6</v>
      </c>
      <c r="D26" s="171">
        <f>IF($E$10&lt;=$E$11,"",cal!D25)</f>
        <v>684.45</v>
      </c>
      <c r="E26" s="172">
        <f>IF($E$10&lt;=$E$11,"",cal!E25)</f>
        <v>59</v>
      </c>
      <c r="F26" s="173">
        <f>IF($E$10&lt;=$E$11,"",cal!F25)</f>
        <v>0.17112857897053232</v>
      </c>
      <c r="G26" s="297"/>
      <c r="H26" s="300"/>
      <c r="I26" s="300"/>
      <c r="J26" s="303"/>
      <c r="K26" s="175">
        <f>cal!K25</f>
        <v>25.5</v>
      </c>
      <c r="L26" s="176">
        <f>cal!L25</f>
        <v>33.5</v>
      </c>
      <c r="M26" s="177">
        <f>cal!M25</f>
        <v>1.53</v>
      </c>
      <c r="N26" s="178">
        <f>cal!N25</f>
        <v>50</v>
      </c>
      <c r="O26" s="174"/>
      <c r="P26" s="178"/>
      <c r="Q26" s="169"/>
      <c r="R26" s="169"/>
      <c r="S26" s="179"/>
      <c r="T26" s="169"/>
      <c r="U26" s="169"/>
    </row>
    <row r="27" spans="2:21" ht="15" customHeight="1" x14ac:dyDescent="0.25">
      <c r="B27" s="124">
        <f>cal!B26</f>
        <v>0.8</v>
      </c>
      <c r="C27" s="125">
        <f>cal!C26</f>
        <v>8</v>
      </c>
      <c r="D27" s="171">
        <f>IF($E$10&lt;=$E$11,"",cal!D26)</f>
        <v>911.95</v>
      </c>
      <c r="E27" s="172">
        <f>IF($E$10&lt;=$E$11,"",cal!E26)</f>
        <v>78</v>
      </c>
      <c r="F27" s="173">
        <f>IF($E$10&lt;=$E$11,"",cal!F26)</f>
        <v>0.28920796013227545</v>
      </c>
      <c r="G27" s="297"/>
      <c r="H27" s="300"/>
      <c r="I27" s="300"/>
      <c r="J27" s="303"/>
      <c r="K27" s="175">
        <f>cal!K26</f>
        <v>36.1</v>
      </c>
      <c r="L27" s="176">
        <f>cal!L26</f>
        <v>44.1</v>
      </c>
      <c r="M27" s="177">
        <f>cal!M26</f>
        <v>2.46</v>
      </c>
      <c r="N27" s="178">
        <f>cal!N26</f>
        <v>74</v>
      </c>
      <c r="O27" s="174"/>
      <c r="P27" s="178"/>
      <c r="Q27" s="169"/>
      <c r="R27" s="169"/>
      <c r="S27" s="179"/>
      <c r="T27" s="169"/>
      <c r="U27" s="169"/>
    </row>
    <row r="28" spans="2:21" ht="15" customHeight="1" x14ac:dyDescent="0.25">
      <c r="B28" s="124">
        <f>cal!B27</f>
        <v>1</v>
      </c>
      <c r="C28" s="125">
        <f>cal!C27</f>
        <v>10</v>
      </c>
      <c r="D28" s="171">
        <f>IF($E$10&lt;=$E$11,"",cal!D27)</f>
        <v>1071.8500000000001</v>
      </c>
      <c r="E28" s="172">
        <f>IF($E$10&lt;=$E$11,"",cal!E27)</f>
        <v>92</v>
      </c>
      <c r="F28" s="173">
        <f>IF($E$10&lt;=$E$11,"",cal!F27)</f>
        <v>0.38865796493862237</v>
      </c>
      <c r="G28" s="298"/>
      <c r="H28" s="301"/>
      <c r="I28" s="301"/>
      <c r="J28" s="304"/>
      <c r="K28" s="175">
        <f>cal!K27</f>
        <v>42.5</v>
      </c>
      <c r="L28" s="176">
        <f>cal!L27</f>
        <v>50.5</v>
      </c>
      <c r="M28" s="177">
        <f>cal!M27</f>
        <v>3.84</v>
      </c>
      <c r="N28" s="178">
        <f>cal!N27</f>
        <v>98</v>
      </c>
      <c r="O28" s="174"/>
      <c r="P28" s="178"/>
      <c r="Q28" s="169"/>
      <c r="R28" s="169"/>
      <c r="S28" s="179"/>
      <c r="T28" s="169"/>
      <c r="U28" s="169"/>
    </row>
    <row r="29" spans="2:21" ht="15" customHeight="1" x14ac:dyDescent="0.25">
      <c r="B29" s="290" t="str">
        <f>cal!B28</f>
        <v>Micro Canal height 6 cm width 14 cm length 130 cm (Type 3)</v>
      </c>
      <c r="C29" s="291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5"/>
      <c r="Q29" s="169"/>
      <c r="R29" s="169"/>
      <c r="S29" s="170"/>
      <c r="T29" s="169"/>
      <c r="U29" s="169"/>
    </row>
    <row r="30" spans="2:21" ht="15" customHeight="1" x14ac:dyDescent="0.25">
      <c r="B30" s="124">
        <f>cal!B29</f>
        <v>0.2</v>
      </c>
      <c r="C30" s="125">
        <f>cal!C29</f>
        <v>2</v>
      </c>
      <c r="D30" s="171">
        <f>IF($E$10&lt;=$E$11,cal!$AC$3,cal!D29)</f>
        <v>199</v>
      </c>
      <c r="E30" s="172">
        <f>IF($E$10&lt;=$E$11,"",cal!E29)</f>
        <v>17</v>
      </c>
      <c r="F30" s="173">
        <f>IF($E$10&lt;=$E$11,"",cal!F29)</f>
        <v>2.5487791512859199E-2</v>
      </c>
      <c r="G30" s="296"/>
      <c r="H30" s="296"/>
      <c r="I30" s="296"/>
      <c r="J30" s="296"/>
      <c r="K30" s="175">
        <f>cal!K29</f>
        <v>13.899999999999999</v>
      </c>
      <c r="L30" s="176">
        <f>cal!L29</f>
        <v>21.9</v>
      </c>
      <c r="M30" s="177">
        <f>cal!M29</f>
        <v>0.54</v>
      </c>
      <c r="N30" s="178">
        <f>cal!N29</f>
        <v>26</v>
      </c>
      <c r="O30" s="174"/>
      <c r="P30" s="178"/>
      <c r="Q30" s="169"/>
      <c r="R30" s="169"/>
      <c r="S30" s="179"/>
      <c r="T30" s="169"/>
      <c r="U30" s="169"/>
    </row>
    <row r="31" spans="2:21" ht="15" customHeight="1" x14ac:dyDescent="0.25">
      <c r="B31" s="124">
        <f>cal!B30</f>
        <v>0.4</v>
      </c>
      <c r="C31" s="125">
        <f>cal!C30</f>
        <v>4</v>
      </c>
      <c r="D31" s="171">
        <f>IF($E$10&lt;=$E$11,cal!$AC$4,cal!D30)</f>
        <v>523</v>
      </c>
      <c r="E31" s="172">
        <f>IF($E$10&lt;=$E$11,"",cal!E30)</f>
        <v>45</v>
      </c>
      <c r="F31" s="173">
        <f>IF($E$10&lt;=$E$11,"",cal!F30)</f>
        <v>0.14787039100998542</v>
      </c>
      <c r="G31" s="297"/>
      <c r="H31" s="297"/>
      <c r="I31" s="297"/>
      <c r="J31" s="297"/>
      <c r="K31" s="175">
        <f>cal!K30</f>
        <v>15.2</v>
      </c>
      <c r="L31" s="176">
        <f>cal!L30</f>
        <v>23.2</v>
      </c>
      <c r="M31" s="177">
        <f>cal!M30</f>
        <v>0.95</v>
      </c>
      <c r="N31" s="178">
        <f>cal!N30</f>
        <v>41</v>
      </c>
      <c r="O31" s="174"/>
      <c r="P31" s="178"/>
      <c r="Q31" s="169"/>
      <c r="R31" s="169"/>
      <c r="S31" s="179"/>
      <c r="T31" s="169"/>
      <c r="U31" s="169"/>
    </row>
    <row r="32" spans="2:21" ht="15" customHeight="1" x14ac:dyDescent="0.25">
      <c r="B32" s="124">
        <f>cal!B31</f>
        <v>0.6</v>
      </c>
      <c r="C32" s="125">
        <f>cal!C31</f>
        <v>6</v>
      </c>
      <c r="D32" s="171">
        <f>IF($E$10&lt;=$E$11,"",cal!D31)</f>
        <v>1053</v>
      </c>
      <c r="E32" s="172">
        <f>IF($E$10&lt;=$E$11,"",cal!E31)</f>
        <v>91</v>
      </c>
      <c r="F32" s="173">
        <f>IF($E$10&lt;=$E$11,"",cal!F31)</f>
        <v>0.52911427842315595</v>
      </c>
      <c r="G32" s="297"/>
      <c r="H32" s="297"/>
      <c r="I32" s="297"/>
      <c r="J32" s="297"/>
      <c r="K32" s="175">
        <f>cal!K31</f>
        <v>26.4</v>
      </c>
      <c r="L32" s="176">
        <f>cal!L31</f>
        <v>34.4</v>
      </c>
      <c r="M32" s="177">
        <f>cal!M31</f>
        <v>1.62</v>
      </c>
      <c r="N32" s="178">
        <f>cal!N31</f>
        <v>67</v>
      </c>
      <c r="O32" s="174"/>
      <c r="P32" s="178"/>
      <c r="Q32" s="169"/>
      <c r="R32" s="169"/>
      <c r="S32" s="179"/>
      <c r="T32" s="169"/>
      <c r="U32" s="169"/>
    </row>
    <row r="33" spans="2:21" ht="15" customHeight="1" x14ac:dyDescent="0.25">
      <c r="B33" s="124">
        <f>cal!B32</f>
        <v>0.8</v>
      </c>
      <c r="C33" s="125">
        <f>cal!C32</f>
        <v>8</v>
      </c>
      <c r="D33" s="171">
        <f>IF($E$10&lt;=$E$11,"",cal!D32)</f>
        <v>1403</v>
      </c>
      <c r="E33" s="172">
        <f>IF($E$10&lt;=$E$11,"",cal!E32)</f>
        <v>121</v>
      </c>
      <c r="F33" s="173">
        <f>IF($E$10&lt;=$E$11,"",cal!F32)</f>
        <v>0.89283420159553806</v>
      </c>
      <c r="G33" s="297"/>
      <c r="H33" s="297"/>
      <c r="I33" s="297"/>
      <c r="J33" s="297"/>
      <c r="K33" s="175">
        <f>cal!K32</f>
        <v>37.200000000000003</v>
      </c>
      <c r="L33" s="176">
        <f>cal!L32</f>
        <v>45.2</v>
      </c>
      <c r="M33" s="177">
        <f>cal!M32</f>
        <v>2.65</v>
      </c>
      <c r="N33" s="178">
        <f>cal!N32</f>
        <v>99</v>
      </c>
      <c r="O33" s="174"/>
      <c r="P33" s="178"/>
      <c r="Q33" s="169"/>
      <c r="R33" s="169"/>
      <c r="S33" s="179"/>
      <c r="T33" s="169"/>
      <c r="U33" s="169"/>
    </row>
    <row r="34" spans="2:21" ht="15" customHeight="1" x14ac:dyDescent="0.25">
      <c r="B34" s="124">
        <f>cal!B33</f>
        <v>1</v>
      </c>
      <c r="C34" s="125">
        <f>cal!C33</f>
        <v>10</v>
      </c>
      <c r="D34" s="171">
        <f>IF($E$10&lt;=$E$11,"",cal!D33)</f>
        <v>1649</v>
      </c>
      <c r="E34" s="172">
        <f>IF($E$10&lt;=$E$11,"",cal!E33)</f>
        <v>142</v>
      </c>
      <c r="F34" s="173">
        <f>IF($E$10&lt;=$E$11,"",cal!F33)</f>
        <v>1.1987811623016493</v>
      </c>
      <c r="G34" s="298"/>
      <c r="H34" s="298"/>
      <c r="I34" s="298"/>
      <c r="J34" s="298"/>
      <c r="K34" s="175">
        <f>cal!K33</f>
        <v>41.8</v>
      </c>
      <c r="L34" s="176">
        <f>cal!L33</f>
        <v>49.8</v>
      </c>
      <c r="M34" s="177">
        <f>cal!M33</f>
        <v>4.1399999999999997</v>
      </c>
      <c r="N34" s="178">
        <f>cal!N33</f>
        <v>130</v>
      </c>
      <c r="O34" s="174"/>
      <c r="P34" s="178"/>
      <c r="Q34" s="169"/>
      <c r="R34" s="169"/>
      <c r="S34" s="179"/>
      <c r="T34" s="169"/>
      <c r="U34" s="169"/>
    </row>
    <row r="35" spans="2:21" ht="15" customHeight="1" x14ac:dyDescent="0.25">
      <c r="B35" s="290" t="str">
        <f>cal!B34</f>
        <v>Micro Canal height 6 cm width 14 cm length 165 cm (Type 4)</v>
      </c>
      <c r="C35" s="291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5"/>
      <c r="Q35" s="169"/>
      <c r="R35" s="169"/>
      <c r="S35" s="170"/>
      <c r="T35" s="169"/>
      <c r="U35" s="169"/>
    </row>
    <row r="36" spans="2:21" ht="15" customHeight="1" x14ac:dyDescent="0.25">
      <c r="B36" s="124">
        <f>cal!B35</f>
        <v>0.2</v>
      </c>
      <c r="C36" s="125">
        <f>cal!C35</f>
        <v>2</v>
      </c>
      <c r="D36" s="171">
        <f>IF($E$10&lt;=$E$11,cal!$AC$3,cal!D35)</f>
        <v>268.65000000000003</v>
      </c>
      <c r="E36" s="172">
        <f>IF($E$10&lt;=$E$11,"",cal!E35)</f>
        <v>23</v>
      </c>
      <c r="F36" s="173">
        <f>IF($E$10&lt;=$E$11,"",cal!F35)</f>
        <v>5.6966963176685495E-2</v>
      </c>
      <c r="G36" s="296"/>
      <c r="H36" s="299"/>
      <c r="I36" s="299"/>
      <c r="J36" s="302"/>
      <c r="K36" s="175">
        <f>cal!K35</f>
        <v>17.3</v>
      </c>
      <c r="L36" s="176">
        <f>cal!L35</f>
        <v>25.3</v>
      </c>
      <c r="M36" s="177">
        <f>cal!M35</f>
        <v>1.04</v>
      </c>
      <c r="N36" s="178">
        <f>cal!N35</f>
        <v>36</v>
      </c>
      <c r="O36" s="174"/>
      <c r="P36" s="178"/>
      <c r="Q36" s="169"/>
      <c r="R36" s="169"/>
      <c r="S36" s="179"/>
      <c r="T36" s="169"/>
      <c r="U36" s="169"/>
    </row>
    <row r="37" spans="2:21" ht="15" customHeight="1" x14ac:dyDescent="0.25">
      <c r="B37" s="124">
        <f>cal!B36</f>
        <v>0.4</v>
      </c>
      <c r="C37" s="125">
        <f>cal!C36</f>
        <v>4</v>
      </c>
      <c r="D37" s="171">
        <f>IF($E$10&lt;=$E$11,cal!$AC$4,cal!D36)</f>
        <v>706.05000000000007</v>
      </c>
      <c r="E37" s="172">
        <f>IF($E$10&lt;=$E$11,"",cal!E36)</f>
        <v>61</v>
      </c>
      <c r="F37" s="173">
        <f>IF($E$10&lt;=$E$11,"",cal!F36)</f>
        <v>0.32969062642810371</v>
      </c>
      <c r="G37" s="297"/>
      <c r="H37" s="300"/>
      <c r="I37" s="300"/>
      <c r="J37" s="303"/>
      <c r="K37" s="175">
        <f>cal!K36</f>
        <v>20.399999999999999</v>
      </c>
      <c r="L37" s="176">
        <f>cal!L36</f>
        <v>28.4</v>
      </c>
      <c r="M37" s="177">
        <f>cal!M36</f>
        <v>1.74</v>
      </c>
      <c r="N37" s="178">
        <f>cal!N36</f>
        <v>60</v>
      </c>
      <c r="O37" s="174"/>
      <c r="P37" s="178"/>
      <c r="Q37" s="169"/>
      <c r="R37" s="169"/>
      <c r="S37" s="179"/>
      <c r="T37" s="169"/>
      <c r="U37" s="169"/>
    </row>
    <row r="38" spans="2:21" ht="15" customHeight="1" x14ac:dyDescent="0.25">
      <c r="B38" s="124">
        <f>cal!B37</f>
        <v>0.6</v>
      </c>
      <c r="C38" s="125">
        <f>cal!C37</f>
        <v>6</v>
      </c>
      <c r="D38" s="171">
        <f>IF($E$10&lt;=$E$11,"",cal!D37)</f>
        <v>1421.5500000000002</v>
      </c>
      <c r="E38" s="172">
        <f>IF($E$10&lt;=$E$11,"",cal!E37)</f>
        <v>122</v>
      </c>
      <c r="F38" s="173">
        <f>IF($E$10&lt;=$E$11,"",cal!F37)</f>
        <v>1.1773030202437731</v>
      </c>
      <c r="G38" s="297"/>
      <c r="H38" s="300"/>
      <c r="I38" s="300"/>
      <c r="J38" s="303"/>
      <c r="K38" s="175">
        <f>cal!K37</f>
        <v>28.5</v>
      </c>
      <c r="L38" s="176">
        <f>cal!L37</f>
        <v>36.5</v>
      </c>
      <c r="M38" s="177">
        <f>cal!M37</f>
        <v>3.06</v>
      </c>
      <c r="N38" s="178">
        <f>cal!N37</f>
        <v>100</v>
      </c>
      <c r="O38" s="174"/>
      <c r="P38" s="178"/>
      <c r="Q38" s="169"/>
      <c r="R38" s="169"/>
      <c r="S38" s="179"/>
      <c r="T38" s="169"/>
      <c r="U38" s="169"/>
    </row>
    <row r="39" spans="2:21" ht="15" customHeight="1" x14ac:dyDescent="0.25">
      <c r="B39" s="124">
        <f>cal!B38</f>
        <v>0.8</v>
      </c>
      <c r="C39" s="125">
        <f>cal!C38</f>
        <v>8</v>
      </c>
      <c r="D39" s="171">
        <f>IF($E$10&lt;=$E$11,"",cal!D38)</f>
        <v>1894.0500000000002</v>
      </c>
      <c r="E39" s="172">
        <f>IF($E$10&lt;=$E$11,"",cal!E38)</f>
        <v>163</v>
      </c>
      <c r="F39" s="173">
        <f>IF($E$10&lt;=$E$11,"",cal!F38)</f>
        <v>1.9847946062562469</v>
      </c>
      <c r="G39" s="297"/>
      <c r="H39" s="300"/>
      <c r="I39" s="300"/>
      <c r="J39" s="303"/>
      <c r="K39" s="175">
        <f>cal!K38</f>
        <v>39.1</v>
      </c>
      <c r="L39" s="176">
        <f>cal!L38</f>
        <v>47.1</v>
      </c>
      <c r="M39" s="177">
        <f>cal!M38</f>
        <v>4.92</v>
      </c>
      <c r="N39" s="178">
        <f>cal!N38</f>
        <v>148</v>
      </c>
      <c r="O39" s="174"/>
      <c r="P39" s="178"/>
      <c r="Q39" s="169"/>
      <c r="R39" s="169"/>
      <c r="S39" s="179"/>
      <c r="T39" s="169"/>
      <c r="U39" s="169"/>
    </row>
    <row r="40" spans="2:21" ht="15" customHeight="1" x14ac:dyDescent="0.25">
      <c r="B40" s="124">
        <f>cal!B39</f>
        <v>1</v>
      </c>
      <c r="C40" s="125">
        <f>cal!C39</f>
        <v>10</v>
      </c>
      <c r="D40" s="171">
        <f>IF($E$10&lt;=$E$11,"",cal!D39)</f>
        <v>2226.15</v>
      </c>
      <c r="E40" s="172">
        <f>IF($E$10&lt;=$E$11,"",cal!E39)</f>
        <v>191</v>
      </c>
      <c r="F40" s="173">
        <f>IF($E$10&lt;=$E$11,"",cal!F39)</f>
        <v>2.6635119539217489</v>
      </c>
      <c r="G40" s="298"/>
      <c r="H40" s="301"/>
      <c r="I40" s="301"/>
      <c r="J40" s="304"/>
      <c r="K40" s="175">
        <f>cal!K39</f>
        <v>45.5</v>
      </c>
      <c r="L40" s="176">
        <f>cal!L39</f>
        <v>53.5</v>
      </c>
      <c r="M40" s="177">
        <f>cal!M39</f>
        <v>7.68</v>
      </c>
      <c r="N40" s="178">
        <f>cal!N39</f>
        <v>196</v>
      </c>
      <c r="O40" s="174"/>
      <c r="P40" s="178"/>
      <c r="Q40" s="169"/>
      <c r="R40" s="169"/>
      <c r="S40" s="179"/>
      <c r="T40" s="169"/>
      <c r="U40" s="169"/>
    </row>
    <row r="41" spans="2:21" ht="15" customHeight="1" x14ac:dyDescent="0.25">
      <c r="B41" s="290" t="str">
        <f>cal!B40</f>
        <v>Micro Canal height 6 cm width 14 cm length 200 cm (Type 5)</v>
      </c>
      <c r="C41" s="291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3"/>
      <c r="Q41" s="190"/>
      <c r="R41" s="190"/>
      <c r="S41" s="250"/>
      <c r="T41" s="190"/>
      <c r="U41" s="190"/>
    </row>
    <row r="42" spans="2:21" ht="15" customHeight="1" x14ac:dyDescent="0.25">
      <c r="B42" s="124">
        <f>cal!B41</f>
        <v>0.2</v>
      </c>
      <c r="C42" s="125">
        <f>cal!C41</f>
        <v>2</v>
      </c>
      <c r="D42" s="287">
        <f>IF($E$10&lt;=$E$11,cal!$AC$3,cal!D41)</f>
        <v>338.3</v>
      </c>
      <c r="E42" s="172">
        <f>IF($E$10&lt;=$E$11,"",cal!E41)</f>
        <v>29</v>
      </c>
      <c r="F42" s="289">
        <f>IF($E$10&lt;=$E$11,"",cal!F41)</f>
        <v>0.10626158757102755</v>
      </c>
      <c r="G42" s="311"/>
      <c r="H42" s="308"/>
      <c r="I42" s="308"/>
      <c r="J42" s="305"/>
      <c r="K42" s="175">
        <f>IF(cal!K41=-8,"",cal!K41)</f>
        <v>17.100000000000001</v>
      </c>
      <c r="L42" s="176">
        <f>IF(cal!L41=0,"",cal!L41)</f>
        <v>25.1</v>
      </c>
      <c r="M42" s="177">
        <f>IF(cal!M41=0,"",cal!M41)</f>
        <v>1.06</v>
      </c>
      <c r="N42" s="178">
        <f>IF(cal!N41=0,"",cal!N41)</f>
        <v>44</v>
      </c>
      <c r="O42" s="254"/>
      <c r="P42" s="259"/>
      <c r="Q42" s="190"/>
      <c r="R42" s="190"/>
      <c r="S42" s="260"/>
      <c r="T42" s="190"/>
      <c r="U42" s="190"/>
    </row>
    <row r="43" spans="2:21" ht="15" customHeight="1" x14ac:dyDescent="0.25">
      <c r="B43" s="124">
        <f>cal!B42</f>
        <v>0.4</v>
      </c>
      <c r="C43" s="125">
        <f>cal!C42</f>
        <v>4</v>
      </c>
      <c r="D43" s="171">
        <f>IF($E$10&lt;=$E$11,cal!$AC$4,cal!D42)</f>
        <v>889.1</v>
      </c>
      <c r="E43" s="172">
        <f>IF($E$10&lt;=$E$11,"",cal!E42)</f>
        <v>76</v>
      </c>
      <c r="F43" s="289">
        <f>IF($E$10&lt;=$E$11,"",cal!F42)</f>
        <v>0.61397815292948499</v>
      </c>
      <c r="G43" s="312"/>
      <c r="H43" s="309"/>
      <c r="I43" s="309"/>
      <c r="J43" s="306"/>
      <c r="K43" s="175">
        <f>IF(cal!K42=-8,"",cal!K42)</f>
        <v>19.399999999999999</v>
      </c>
      <c r="L43" s="176">
        <f>IF(cal!L42=0,"",cal!L42)</f>
        <v>27.4</v>
      </c>
      <c r="M43" s="177">
        <f>IF(cal!M42=0,"",cal!M42)</f>
        <v>1.82</v>
      </c>
      <c r="N43" s="178">
        <f>IF(cal!N42=0,"",cal!N42)</f>
        <v>71</v>
      </c>
      <c r="O43" s="254"/>
      <c r="P43" s="259"/>
      <c r="Q43" s="190"/>
      <c r="R43" s="190"/>
      <c r="S43" s="260"/>
      <c r="T43" s="190"/>
      <c r="U43" s="190"/>
    </row>
    <row r="44" spans="2:21" ht="15" customHeight="1" x14ac:dyDescent="0.25">
      <c r="B44" s="124">
        <f>cal!B43</f>
        <v>0.6</v>
      </c>
      <c r="C44" s="125">
        <f>cal!C43</f>
        <v>6</v>
      </c>
      <c r="D44" s="171">
        <f>IF($E$10&lt;=$E$11,"",cal!D43)</f>
        <v>1790.1</v>
      </c>
      <c r="E44" s="172">
        <f>IF($E$10&lt;=$E$11,"",cal!E43)</f>
        <v>154</v>
      </c>
      <c r="F44" s="289">
        <f>IF($E$10&lt;=$E$11,"",cal!F43)</f>
        <v>2.1894959237320637</v>
      </c>
      <c r="G44" s="312"/>
      <c r="H44" s="309"/>
      <c r="I44" s="309"/>
      <c r="J44" s="306"/>
      <c r="K44" s="175">
        <f>IF(cal!K43=-8,"",cal!K43)</f>
        <v>29</v>
      </c>
      <c r="L44" s="176">
        <f>IF(cal!L43=0,"",cal!L43)</f>
        <v>37</v>
      </c>
      <c r="M44" s="177">
        <f>IF(cal!M43=0,"",cal!M43)</f>
        <v>3.15</v>
      </c>
      <c r="N44" s="178">
        <f>IF(cal!N43=0,"",cal!N43)</f>
        <v>117</v>
      </c>
      <c r="O44" s="254"/>
      <c r="P44" s="259"/>
      <c r="Q44" s="190"/>
      <c r="R44" s="190"/>
      <c r="S44" s="260"/>
      <c r="T44" s="190"/>
      <c r="U44" s="190"/>
    </row>
    <row r="45" spans="2:21" ht="15" customHeight="1" x14ac:dyDescent="0.25">
      <c r="B45" s="124">
        <f>cal!B44</f>
        <v>0.8</v>
      </c>
      <c r="C45" s="125">
        <f>cal!C44</f>
        <v>8</v>
      </c>
      <c r="D45" s="171">
        <f>IF($E$10&lt;=$E$11,"",cal!D44)</f>
        <v>2385.1</v>
      </c>
      <c r="E45" s="172">
        <f>IF($E$10&lt;=$E$11,"",cal!E44)</f>
        <v>205</v>
      </c>
      <c r="F45" s="289">
        <f>IF($E$10&lt;=$E$11,"",cal!F44)</f>
        <v>3.6889978888529815</v>
      </c>
      <c r="G45" s="312"/>
      <c r="H45" s="309"/>
      <c r="I45" s="309"/>
      <c r="J45" s="306"/>
      <c r="K45" s="175">
        <f>IF(cal!K44=-8,"",cal!K44)</f>
        <v>39.700000000000003</v>
      </c>
      <c r="L45" s="176">
        <f>IF(cal!L44=0,"",cal!L44)</f>
        <v>47.7</v>
      </c>
      <c r="M45" s="177">
        <f>IF(cal!M44=0,"",cal!M44)</f>
        <v>5.1100000000000003</v>
      </c>
      <c r="N45" s="178">
        <f>IF(cal!N44=0,"",cal!N44)</f>
        <v>173</v>
      </c>
      <c r="O45" s="254"/>
      <c r="P45" s="259"/>
      <c r="Q45" s="190"/>
      <c r="R45" s="190"/>
      <c r="S45" s="260"/>
      <c r="T45" s="190"/>
      <c r="U45" s="190"/>
    </row>
    <row r="46" spans="2:21" ht="15" customHeight="1" x14ac:dyDescent="0.25">
      <c r="B46" s="124">
        <f>cal!B45</f>
        <v>1</v>
      </c>
      <c r="C46" s="125">
        <f>cal!C45</f>
        <v>10</v>
      </c>
      <c r="D46" s="288">
        <f>IF($E$10&lt;=$E$11,"",cal!D45)</f>
        <v>2803.2999999999997</v>
      </c>
      <c r="E46" s="172">
        <f>IF($E$10&lt;=$E$11,"",cal!E45)</f>
        <v>241</v>
      </c>
      <c r="F46" s="289">
        <f>IF($E$10&lt;=$E$11,"",cal!F45)</f>
        <v>4.9487298621162958</v>
      </c>
      <c r="G46" s="313"/>
      <c r="H46" s="310"/>
      <c r="I46" s="310"/>
      <c r="J46" s="307"/>
      <c r="K46" s="175">
        <f>IF(cal!K45=-8,"",cal!K45)</f>
        <v>45.2</v>
      </c>
      <c r="L46" s="176">
        <f>IF(cal!L45=0,"",cal!L45)</f>
        <v>53.2</v>
      </c>
      <c r="M46" s="177">
        <f>IF(cal!M45=0,"",cal!M45)</f>
        <v>7.98</v>
      </c>
      <c r="N46" s="178">
        <f>IF(cal!N45=0,"",cal!N45)</f>
        <v>228</v>
      </c>
      <c r="O46" s="254"/>
      <c r="P46" s="259"/>
      <c r="Q46" s="190"/>
      <c r="R46" s="190"/>
      <c r="S46" s="260"/>
      <c r="T46" s="190"/>
      <c r="U46" s="190"/>
    </row>
    <row r="47" spans="2:21" ht="0.2" customHeight="1" x14ac:dyDescent="0.25">
      <c r="B47" s="290" t="str">
        <f>IF(cal!$X$16=1,"",IF(cal!$X$16=2,"",cal!B46))</f>
        <v/>
      </c>
      <c r="C47" s="291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3"/>
      <c r="Q47" s="190"/>
      <c r="R47" s="190"/>
      <c r="S47" s="250"/>
      <c r="T47" s="190"/>
      <c r="U47" s="190"/>
    </row>
    <row r="48" spans="2:21" ht="0.2" customHeight="1" x14ac:dyDescent="0.25">
      <c r="B48" s="124" t="e">
        <f>cal!#REF!</f>
        <v>#REF!</v>
      </c>
      <c r="C48" s="125">
        <f>cal!C47</f>
        <v>0</v>
      </c>
      <c r="D48" s="251">
        <f>IF($E$10&lt;=$E$11,cal!$AC$3,cal!D47)</f>
        <v>0</v>
      </c>
      <c r="E48" s="252">
        <f>IF($E$10&lt;=$E$11,"",cal!E47)</f>
        <v>0</v>
      </c>
      <c r="F48" s="253">
        <f>IF($E$10&lt;=$E$11,"",cal!F47)</f>
        <v>0</v>
      </c>
      <c r="G48" s="254" t="str">
        <f>IF($I$11&gt;=$K$11,cal!$AC$3,cal!G47)</f>
        <v>Temp.</v>
      </c>
      <c r="H48" s="254" t="str">
        <f>IF($I$11&gt;=$K$11,"",cal!H47)</f>
        <v/>
      </c>
      <c r="I48" s="252" t="str">
        <f>IF($I$11&gt;=$K$11,"",cal!I47)</f>
        <v/>
      </c>
      <c r="J48" s="255" t="str">
        <f>IF($I$11&gt;=$K$11,"",cal!J47)</f>
        <v/>
      </c>
      <c r="K48" s="256">
        <f>IF(cal!K47=-8,"",cal!K47)</f>
        <v>0</v>
      </c>
      <c r="L48" s="257" t="str">
        <f>IF(cal!L47=0,"",cal!L47)</f>
        <v/>
      </c>
      <c r="M48" s="258" t="str">
        <f>IF(cal!M47=0,"",cal!M47)</f>
        <v/>
      </c>
      <c r="N48" s="259" t="str">
        <f>IF(cal!N47=0,"",cal!N47)</f>
        <v/>
      </c>
      <c r="O48" s="254"/>
      <c r="P48" s="259"/>
      <c r="Q48" s="190"/>
      <c r="R48" s="190"/>
      <c r="S48" s="260"/>
      <c r="T48" s="190"/>
      <c r="U48" s="190"/>
    </row>
    <row r="49" spans="2:21" ht="0.2" customHeight="1" x14ac:dyDescent="0.25">
      <c r="B49" s="124" t="e">
        <f>cal!#REF!</f>
        <v>#REF!</v>
      </c>
      <c r="C49" s="125">
        <f>cal!C48</f>
        <v>0</v>
      </c>
      <c r="D49" s="251">
        <f>IF($E$10&lt;=$E$11,cal!$AC$4,cal!D48)</f>
        <v>0</v>
      </c>
      <c r="E49" s="252">
        <f>IF($E$10&lt;=$E$11,"",cal!E48)</f>
        <v>0</v>
      </c>
      <c r="F49" s="253">
        <f>IF($E$10&lt;=$E$11,"",cal!F48)</f>
        <v>0</v>
      </c>
      <c r="G49" s="254" t="str">
        <f>IF($I$11&gt;=$K$11,cal!$AC$5,cal!G48)</f>
        <v>cooling!</v>
      </c>
      <c r="H49" s="254" t="str">
        <f>IF($I$11&gt;=$K$11,"",cal!H48)</f>
        <v/>
      </c>
      <c r="I49" s="252" t="str">
        <f>IF($I$11&gt;=$K$11,"",cal!I48)</f>
        <v/>
      </c>
      <c r="J49" s="255" t="str">
        <f>IF($I$11&gt;=$K$11,"",cal!J48)</f>
        <v/>
      </c>
      <c r="K49" s="256">
        <f>IF(cal!K48=-8,"",cal!K48)</f>
        <v>0</v>
      </c>
      <c r="L49" s="257" t="str">
        <f>IF(cal!L48=0,"",cal!L48)</f>
        <v/>
      </c>
      <c r="M49" s="258" t="str">
        <f>IF(cal!M48=0,"",cal!M48)</f>
        <v/>
      </c>
      <c r="N49" s="259" t="str">
        <f>IF(cal!N48=0,"",cal!N48)</f>
        <v/>
      </c>
      <c r="O49" s="254"/>
      <c r="P49" s="259"/>
      <c r="Q49" s="190"/>
      <c r="R49" s="190"/>
      <c r="S49" s="260"/>
      <c r="T49" s="190"/>
      <c r="U49" s="190"/>
    </row>
    <row r="50" spans="2:21" ht="0.2" customHeight="1" x14ac:dyDescent="0.25">
      <c r="B50" s="124" t="e">
        <f>cal!#REF!</f>
        <v>#REF!</v>
      </c>
      <c r="C50" s="125">
        <f>cal!C49</f>
        <v>0</v>
      </c>
      <c r="D50" s="251">
        <f>IF($E$10&lt;=$E$11,"",cal!D49)</f>
        <v>0</v>
      </c>
      <c r="E50" s="252">
        <f>IF($E$10&lt;=$E$11,"",cal!E49)</f>
        <v>0</v>
      </c>
      <c r="F50" s="253">
        <f>IF($E$10&lt;=$E$11,"",cal!F49)</f>
        <v>0</v>
      </c>
      <c r="G50" s="254" t="str">
        <f>IF($I$11&gt;=$K$11,"",cal!G49)</f>
        <v/>
      </c>
      <c r="H50" s="254" t="str">
        <f>IF($I$11&gt;=$K$11,"",cal!H49)</f>
        <v/>
      </c>
      <c r="I50" s="252" t="str">
        <f>IF($I$11&gt;=$K$11,"",cal!I49)</f>
        <v/>
      </c>
      <c r="J50" s="255" t="str">
        <f>IF($I$11&gt;=$K$11,"",cal!J49)</f>
        <v/>
      </c>
      <c r="K50" s="256">
        <f>IF(cal!K49=-8,"",cal!K49)</f>
        <v>0</v>
      </c>
      <c r="L50" s="257" t="str">
        <f>IF(cal!L49=0,"",cal!L49)</f>
        <v/>
      </c>
      <c r="M50" s="258" t="str">
        <f>IF(cal!M49=0,"",cal!M49)</f>
        <v/>
      </c>
      <c r="N50" s="259" t="str">
        <f>IF(cal!N49=0,"",cal!N49)</f>
        <v/>
      </c>
      <c r="O50" s="254"/>
      <c r="P50" s="259"/>
      <c r="Q50" s="190"/>
      <c r="R50" s="190"/>
      <c r="S50" s="260"/>
      <c r="T50" s="190"/>
      <c r="U50" s="190"/>
    </row>
    <row r="51" spans="2:21" ht="0.2" customHeight="1" x14ac:dyDescent="0.25">
      <c r="B51" s="124">
        <f>cal!B50</f>
        <v>0</v>
      </c>
      <c r="C51" s="125">
        <f>cal!C50</f>
        <v>0</v>
      </c>
      <c r="D51" s="251">
        <f>IF($E$10&lt;=$E$11,"",cal!D50)</f>
        <v>0</v>
      </c>
      <c r="E51" s="252">
        <f>IF($E$10&lt;=$E$11,"",cal!E50)</f>
        <v>0</v>
      </c>
      <c r="F51" s="253">
        <f>IF($E$10&lt;=$E$11,"",cal!F50)</f>
        <v>0</v>
      </c>
      <c r="G51" s="254" t="str">
        <f>IF($I$11&gt;=$K$11,"",cal!G50)</f>
        <v/>
      </c>
      <c r="H51" s="254" t="str">
        <f>IF($I$11&gt;=$K$11,"",cal!H50)</f>
        <v/>
      </c>
      <c r="I51" s="252" t="str">
        <f>IF($I$11&gt;=$K$11,"",cal!I50)</f>
        <v/>
      </c>
      <c r="J51" s="255" t="str">
        <f>IF($I$11&gt;=$K$11,"",cal!J50)</f>
        <v/>
      </c>
      <c r="K51" s="256">
        <f>IF(cal!K50=-8,"",cal!K50)</f>
        <v>0</v>
      </c>
      <c r="L51" s="257" t="str">
        <f>IF(cal!L50=0,"",cal!L50)</f>
        <v/>
      </c>
      <c r="M51" s="258" t="str">
        <f>IF(cal!M50=0,"",cal!M50)</f>
        <v/>
      </c>
      <c r="N51" s="259" t="str">
        <f>IF(cal!N50=0,"",cal!N50)</f>
        <v/>
      </c>
      <c r="O51" s="254"/>
      <c r="P51" s="259"/>
      <c r="Q51" s="190"/>
      <c r="R51" s="190"/>
      <c r="S51" s="260"/>
      <c r="T51" s="190"/>
      <c r="U51" s="190"/>
    </row>
    <row r="52" spans="2:21" ht="0.2" customHeight="1" x14ac:dyDescent="0.25">
      <c r="B52" s="124">
        <f>cal!B51</f>
        <v>0</v>
      </c>
      <c r="C52" s="125">
        <f>cal!C51</f>
        <v>0</v>
      </c>
      <c r="D52" s="251">
        <f>IF($E$10&lt;=$E$11,"",cal!D51)</f>
        <v>0</v>
      </c>
      <c r="E52" s="252">
        <f>IF($E$10&lt;=$E$11,"",cal!E51)</f>
        <v>0</v>
      </c>
      <c r="F52" s="253">
        <f>IF($E$10&lt;=$E$11,"",cal!F51)</f>
        <v>0</v>
      </c>
      <c r="G52" s="254" t="str">
        <f>IF($I$11&gt;=$K$11,"",cal!G51)</f>
        <v/>
      </c>
      <c r="H52" s="254" t="str">
        <f>IF($I$11&gt;=$K$11,"",cal!H51)</f>
        <v/>
      </c>
      <c r="I52" s="252" t="str">
        <f>IF($I$11&gt;=$K$11,"",cal!I51)</f>
        <v/>
      </c>
      <c r="J52" s="255" t="str">
        <f>IF($I$11&gt;=$K$11,"",cal!J51)</f>
        <v/>
      </c>
      <c r="K52" s="256">
        <f>IF(cal!K51=-8,"",cal!K51)</f>
        <v>0</v>
      </c>
      <c r="L52" s="257" t="str">
        <f>IF(cal!L51=0,"",cal!L51)</f>
        <v/>
      </c>
      <c r="M52" s="258" t="str">
        <f>IF(cal!M51=0,"",cal!M51)</f>
        <v/>
      </c>
      <c r="N52" s="259" t="str">
        <f>IF(cal!N51=0,"",cal!N51)</f>
        <v/>
      </c>
      <c r="O52" s="254"/>
      <c r="P52" s="259"/>
      <c r="Q52" s="190"/>
      <c r="R52" s="190"/>
      <c r="S52" s="260"/>
      <c r="T52" s="190"/>
      <c r="U52" s="190"/>
    </row>
    <row r="53" spans="2:21" ht="0.2" customHeight="1" x14ac:dyDescent="0.25">
      <c r="B53" s="290" t="str">
        <f>IF(cal!$X$16=1,"",IF(cal!$X$16=2,"",cal!B52))</f>
        <v/>
      </c>
      <c r="C53" s="291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3"/>
      <c r="Q53" s="190"/>
      <c r="R53" s="190"/>
      <c r="S53" s="250"/>
      <c r="T53" s="190"/>
      <c r="U53" s="190"/>
    </row>
    <row r="54" spans="2:21" ht="0.2" customHeight="1" x14ac:dyDescent="0.25">
      <c r="B54" s="124">
        <f>cal!B53</f>
        <v>0</v>
      </c>
      <c r="C54" s="125">
        <f>cal!C53</f>
        <v>0</v>
      </c>
      <c r="D54" s="251">
        <f>IF($E$10&lt;=$E$11,cal!$AC$3,cal!D53)</f>
        <v>0</v>
      </c>
      <c r="E54" s="252">
        <f>IF($E$10&lt;=$E$11,"",cal!E53)</f>
        <v>0</v>
      </c>
      <c r="F54" s="253">
        <f>IF($E$10&lt;=$E$11,"",cal!F53)</f>
        <v>0</v>
      </c>
      <c r="G54" s="254" t="str">
        <f>IF($I$11&gt;=$K$11,cal!$AC$3,cal!G53)</f>
        <v>Temp.</v>
      </c>
      <c r="H54" s="254" t="str">
        <f>IF($I$11&gt;=$K$11,"",cal!H53)</f>
        <v/>
      </c>
      <c r="I54" s="252" t="str">
        <f>IF($I$11&gt;=$K$11,"",cal!I53)</f>
        <v/>
      </c>
      <c r="J54" s="255" t="str">
        <f>IF($I$11&gt;=$K$11,"",cal!J53)</f>
        <v/>
      </c>
      <c r="K54" s="256">
        <f>IF(cal!K53=-8,"",cal!K53)</f>
        <v>0</v>
      </c>
      <c r="L54" s="257" t="str">
        <f>IF(cal!L53=0,"",cal!L53)</f>
        <v/>
      </c>
      <c r="M54" s="258" t="str">
        <f>IF(cal!M53=0,"",cal!M53)</f>
        <v/>
      </c>
      <c r="N54" s="259" t="str">
        <f>IF(cal!N53=0,"",cal!N53)</f>
        <v/>
      </c>
      <c r="O54" s="254"/>
      <c r="P54" s="259"/>
      <c r="Q54" s="190"/>
      <c r="R54" s="190"/>
      <c r="S54" s="260"/>
      <c r="T54" s="190"/>
      <c r="U54" s="190"/>
    </row>
    <row r="55" spans="2:21" ht="0.2" customHeight="1" x14ac:dyDescent="0.25">
      <c r="B55" s="124">
        <f>cal!B54</f>
        <v>0</v>
      </c>
      <c r="C55" s="125">
        <f>cal!C54</f>
        <v>0</v>
      </c>
      <c r="D55" s="251">
        <f>IF($E$10&lt;=$E$11,cal!$AC$4,cal!D54)</f>
        <v>0</v>
      </c>
      <c r="E55" s="252">
        <f>IF($E$10&lt;=$E$11,"",cal!E54)</f>
        <v>0</v>
      </c>
      <c r="F55" s="253">
        <f>IF($E$10&lt;=$E$11,"",cal!F54)</f>
        <v>0</v>
      </c>
      <c r="G55" s="254" t="str">
        <f>IF($I$11&gt;=$K$11,cal!$AC$5,cal!G54)</f>
        <v>cooling!</v>
      </c>
      <c r="H55" s="254" t="str">
        <f>IF($I$11&gt;=$K$11,"",cal!H54)</f>
        <v/>
      </c>
      <c r="I55" s="252" t="str">
        <f>IF($I$11&gt;=$K$11,"",cal!I54)</f>
        <v/>
      </c>
      <c r="J55" s="255" t="str">
        <f>IF($I$11&gt;=$K$11,"",cal!J54)</f>
        <v/>
      </c>
      <c r="K55" s="256">
        <f>IF(cal!K54=-8,"",cal!K54)</f>
        <v>0</v>
      </c>
      <c r="L55" s="257" t="str">
        <f>IF(cal!L54=0,"",cal!L54)</f>
        <v/>
      </c>
      <c r="M55" s="258" t="str">
        <f>IF(cal!M54=0,"",cal!M54)</f>
        <v/>
      </c>
      <c r="N55" s="259" t="str">
        <f>IF(cal!N54=0,"",cal!N54)</f>
        <v/>
      </c>
      <c r="O55" s="254"/>
      <c r="P55" s="259"/>
      <c r="Q55" s="190"/>
      <c r="R55" s="190"/>
      <c r="S55" s="260"/>
      <c r="T55" s="190"/>
      <c r="U55" s="190"/>
    </row>
    <row r="56" spans="2:21" ht="0.2" customHeight="1" x14ac:dyDescent="0.25">
      <c r="B56" s="124">
        <f>cal!B55</f>
        <v>0</v>
      </c>
      <c r="C56" s="125">
        <f>cal!C55</f>
        <v>0</v>
      </c>
      <c r="D56" s="251">
        <f>IF($E$10&lt;=$E$11,"",cal!D55)</f>
        <v>0</v>
      </c>
      <c r="E56" s="252">
        <f>IF($E$10&lt;=$E$11,"",cal!E55)</f>
        <v>0</v>
      </c>
      <c r="F56" s="253">
        <f>IF($E$10&lt;=$E$11,"",cal!F55)</f>
        <v>0</v>
      </c>
      <c r="G56" s="254" t="str">
        <f>IF($I$11&gt;=$K$11,"",cal!G55)</f>
        <v/>
      </c>
      <c r="H56" s="254" t="str">
        <f>IF($I$11&gt;=$K$11,"",cal!H55)</f>
        <v/>
      </c>
      <c r="I56" s="252" t="str">
        <f>IF($I$11&gt;=$K$11,"",cal!I55)</f>
        <v/>
      </c>
      <c r="J56" s="255" t="str">
        <f>IF($I$11&gt;=$K$11,"",cal!J55)</f>
        <v/>
      </c>
      <c r="K56" s="256">
        <f>IF(cal!K55=-8,"",cal!K55)</f>
        <v>0</v>
      </c>
      <c r="L56" s="257" t="str">
        <f>IF(cal!L55=0,"",cal!L55)</f>
        <v/>
      </c>
      <c r="M56" s="258" t="str">
        <f>IF(cal!M55=0,"",cal!M55)</f>
        <v/>
      </c>
      <c r="N56" s="259" t="str">
        <f>IF(cal!N55=0,"",cal!N55)</f>
        <v/>
      </c>
      <c r="O56" s="254"/>
      <c r="P56" s="259"/>
      <c r="Q56" s="190"/>
      <c r="R56" s="190"/>
      <c r="S56" s="260"/>
      <c r="T56" s="190"/>
      <c r="U56" s="190"/>
    </row>
    <row r="57" spans="2:21" ht="0.2" customHeight="1" x14ac:dyDescent="0.25">
      <c r="B57" s="124">
        <f>cal!B56</f>
        <v>0</v>
      </c>
      <c r="C57" s="125">
        <f>cal!C56</f>
        <v>0</v>
      </c>
      <c r="D57" s="251">
        <f>IF($E$10&lt;=$E$11,"",cal!D56)</f>
        <v>0</v>
      </c>
      <c r="E57" s="252">
        <f>IF($E$10&lt;=$E$11,"",cal!E56)</f>
        <v>0</v>
      </c>
      <c r="F57" s="253">
        <f>IF($E$10&lt;=$E$11,"",cal!F56)</f>
        <v>0</v>
      </c>
      <c r="G57" s="254" t="str">
        <f>IF($I$11&gt;=$K$11,"",cal!G56)</f>
        <v/>
      </c>
      <c r="H57" s="254" t="str">
        <f>IF($I$11&gt;=$K$11,"",cal!H56)</f>
        <v/>
      </c>
      <c r="I57" s="252" t="str">
        <f>IF($I$11&gt;=$K$11,"",cal!I56)</f>
        <v/>
      </c>
      <c r="J57" s="255" t="str">
        <f>IF($I$11&gt;=$K$11,"",cal!J56)</f>
        <v/>
      </c>
      <c r="K57" s="256">
        <f>IF(cal!K56=-8,"",cal!K56)</f>
        <v>0</v>
      </c>
      <c r="L57" s="257" t="str">
        <f>IF(cal!L56=0,"",cal!L56)</f>
        <v/>
      </c>
      <c r="M57" s="258" t="str">
        <f>IF(cal!M56=0,"",cal!M56)</f>
        <v/>
      </c>
      <c r="N57" s="259" t="str">
        <f>IF(cal!N56=0,"",cal!N56)</f>
        <v/>
      </c>
      <c r="O57" s="254"/>
      <c r="P57" s="259"/>
      <c r="Q57" s="190"/>
      <c r="R57" s="190"/>
      <c r="S57" s="260"/>
      <c r="T57" s="190"/>
      <c r="U57" s="190"/>
    </row>
    <row r="58" spans="2:21" ht="0.2" customHeight="1" x14ac:dyDescent="0.25">
      <c r="B58" s="124">
        <f>cal!B57</f>
        <v>0</v>
      </c>
      <c r="C58" s="125">
        <f>cal!C57</f>
        <v>0</v>
      </c>
      <c r="D58" s="251">
        <f>IF($E$10&lt;=$E$11,"",cal!D57)</f>
        <v>0</v>
      </c>
      <c r="E58" s="252">
        <f>IF($E$10&lt;=$E$11,"",cal!E57)</f>
        <v>0</v>
      </c>
      <c r="F58" s="253">
        <f>IF($E$10&lt;=$E$11,"",cal!F57)</f>
        <v>0</v>
      </c>
      <c r="G58" s="254" t="str">
        <f>IF($I$11&gt;=$K$11,"",cal!G57)</f>
        <v/>
      </c>
      <c r="H58" s="254" t="str">
        <f>IF($I$11&gt;=$K$11,"",cal!H57)</f>
        <v/>
      </c>
      <c r="I58" s="252" t="str">
        <f>IF($I$11&gt;=$K$11,"",cal!I57)</f>
        <v/>
      </c>
      <c r="J58" s="255" t="str">
        <f>IF($I$11&gt;=$K$11,"",cal!J57)</f>
        <v/>
      </c>
      <c r="K58" s="256">
        <f>IF(cal!K57=-8,"",cal!K57)</f>
        <v>0</v>
      </c>
      <c r="L58" s="257" t="str">
        <f>IF(cal!L57=0,"",cal!L57)</f>
        <v/>
      </c>
      <c r="M58" s="258" t="str">
        <f>IF(cal!M57=0,"",cal!M57)</f>
        <v/>
      </c>
      <c r="N58" s="259" t="str">
        <f>IF(cal!N57=0,"",cal!N57)</f>
        <v/>
      </c>
      <c r="O58" s="254"/>
      <c r="P58" s="259"/>
      <c r="Q58" s="190"/>
      <c r="R58" s="190"/>
      <c r="S58" s="260"/>
      <c r="T58" s="190"/>
      <c r="U58" s="190"/>
    </row>
    <row r="59" spans="2:21" ht="0.2" customHeight="1" x14ac:dyDescent="0.25">
      <c r="B59" s="290" t="str">
        <f>IF(cal!$X$16=1,"",IF(cal!$X$16=2,"",cal!B58))</f>
        <v/>
      </c>
      <c r="C59" s="291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3"/>
      <c r="Q59" s="190"/>
      <c r="R59" s="190"/>
      <c r="S59" s="260"/>
      <c r="T59" s="190"/>
      <c r="U59" s="190"/>
    </row>
    <row r="60" spans="2:21" ht="0.2" customHeight="1" x14ac:dyDescent="0.25">
      <c r="B60" s="124">
        <f>cal!B59</f>
        <v>0</v>
      </c>
      <c r="C60" s="125">
        <f>cal!C59</f>
        <v>0</v>
      </c>
      <c r="D60" s="251">
        <f>IF($E$10&lt;=$E$11,cal!$AC$3,cal!D59)</f>
        <v>0</v>
      </c>
      <c r="E60" s="252">
        <f>IF($E$10&lt;=$E$11,"",cal!E59)</f>
        <v>0</v>
      </c>
      <c r="F60" s="253">
        <f>IF($E$10&lt;=$E$11,"",cal!F59)</f>
        <v>0</v>
      </c>
      <c r="G60" s="254" t="str">
        <f>IF($I$11&gt;=$K$11,cal!$AC$3,cal!G59)</f>
        <v>Temp.</v>
      </c>
      <c r="H60" s="254" t="str">
        <f>IF($I$11&gt;=$K$11,"",cal!H59)</f>
        <v/>
      </c>
      <c r="I60" s="252" t="str">
        <f>IF($I$11&gt;=$K$11,"",cal!I59)</f>
        <v/>
      </c>
      <c r="J60" s="255" t="str">
        <f>IF($I$11&gt;=$K$11,"",cal!J59)</f>
        <v/>
      </c>
      <c r="K60" s="256">
        <f>IF(cal!K59=-8,"",cal!K59)</f>
        <v>0</v>
      </c>
      <c r="L60" s="257" t="str">
        <f>IF(cal!L59=0,"",cal!L59)</f>
        <v/>
      </c>
      <c r="M60" s="258" t="str">
        <f>IF(cal!M59=0,"",cal!M59)</f>
        <v/>
      </c>
      <c r="N60" s="259" t="str">
        <f>IF(cal!N59=0,"",cal!N59)</f>
        <v/>
      </c>
      <c r="O60" s="254"/>
      <c r="P60" s="259"/>
      <c r="Q60" s="190"/>
      <c r="R60" s="190"/>
      <c r="S60" s="260"/>
      <c r="T60" s="190"/>
      <c r="U60" s="190"/>
    </row>
    <row r="61" spans="2:21" ht="0.2" customHeight="1" x14ac:dyDescent="0.25">
      <c r="B61" s="124">
        <f>cal!B60</f>
        <v>0</v>
      </c>
      <c r="C61" s="125">
        <f>cal!C60</f>
        <v>0</v>
      </c>
      <c r="D61" s="251">
        <f>IF($E$10&lt;=$E$11,cal!$AC$4,cal!D60)</f>
        <v>0</v>
      </c>
      <c r="E61" s="252">
        <f>IF($E$10&lt;=$E$11,"",cal!E60)</f>
        <v>0</v>
      </c>
      <c r="F61" s="253">
        <f>IF($E$10&lt;=$E$11,"",cal!F60)</f>
        <v>0</v>
      </c>
      <c r="G61" s="254" t="str">
        <f>IF($I$11&gt;=$K$11,cal!$AC$5,cal!G60)</f>
        <v>cooling!</v>
      </c>
      <c r="H61" s="254" t="str">
        <f>IF($I$11&gt;=$K$11,"",cal!H60)</f>
        <v/>
      </c>
      <c r="I61" s="252" t="str">
        <f>IF($I$11&gt;=$K$11,"",cal!I60)</f>
        <v/>
      </c>
      <c r="J61" s="255" t="str">
        <f>IF($I$11&gt;=$K$11,"",cal!J60)</f>
        <v/>
      </c>
      <c r="K61" s="256">
        <f>IF(cal!K60=-8,"",cal!K60)</f>
        <v>0</v>
      </c>
      <c r="L61" s="257" t="str">
        <f>IF(cal!L60=0,"",cal!L60)</f>
        <v/>
      </c>
      <c r="M61" s="258" t="str">
        <f>IF(cal!M60=0,"",cal!M60)</f>
        <v/>
      </c>
      <c r="N61" s="259" t="str">
        <f>IF(cal!N60=0,"",cal!N60)</f>
        <v/>
      </c>
      <c r="O61" s="254"/>
      <c r="P61" s="259"/>
      <c r="Q61" s="190"/>
      <c r="R61" s="190"/>
      <c r="S61" s="260"/>
      <c r="T61" s="190"/>
      <c r="U61" s="190"/>
    </row>
    <row r="62" spans="2:21" ht="0.2" customHeight="1" x14ac:dyDescent="0.25">
      <c r="B62" s="124">
        <f>cal!B61</f>
        <v>0</v>
      </c>
      <c r="C62" s="125">
        <f>cal!C61</f>
        <v>0</v>
      </c>
      <c r="D62" s="251">
        <f>IF($E$10&lt;=$E$11,"",cal!D61)</f>
        <v>0</v>
      </c>
      <c r="E62" s="252">
        <f>IF($E$10&lt;=$E$11,"",cal!E61)</f>
        <v>0</v>
      </c>
      <c r="F62" s="253">
        <f>IF($E$10&lt;=$E$11,"",cal!F61)</f>
        <v>0</v>
      </c>
      <c r="G62" s="254" t="str">
        <f>IF($I$11&gt;=$K$11,"",cal!G61)</f>
        <v/>
      </c>
      <c r="H62" s="254" t="str">
        <f>IF($I$11&gt;=$K$11,"",cal!H61)</f>
        <v/>
      </c>
      <c r="I62" s="252" t="str">
        <f>IF($I$11&gt;=$K$11,"",cal!I61)</f>
        <v/>
      </c>
      <c r="J62" s="255" t="str">
        <f>IF($I$11&gt;=$K$11,"",cal!J61)</f>
        <v/>
      </c>
      <c r="K62" s="256">
        <f>IF(cal!K61=-8,"",cal!K61)</f>
        <v>0</v>
      </c>
      <c r="L62" s="257" t="str">
        <f>IF(cal!L61=0,"",cal!L61)</f>
        <v/>
      </c>
      <c r="M62" s="258" t="str">
        <f>IF(cal!M61=0,"",cal!M61)</f>
        <v/>
      </c>
      <c r="N62" s="259" t="str">
        <f>IF(cal!N61=0,"",cal!N61)</f>
        <v/>
      </c>
      <c r="O62" s="254"/>
      <c r="P62" s="259"/>
      <c r="Q62" s="190"/>
      <c r="R62" s="190"/>
      <c r="S62" s="260"/>
      <c r="T62" s="190"/>
      <c r="U62" s="190"/>
    </row>
    <row r="63" spans="2:21" ht="0.2" customHeight="1" x14ac:dyDescent="0.25">
      <c r="B63" s="124">
        <f>cal!B62</f>
        <v>0</v>
      </c>
      <c r="C63" s="125">
        <f>cal!C62</f>
        <v>0</v>
      </c>
      <c r="D63" s="251">
        <f>IF($E$10&lt;=$E$11,"",cal!D62)</f>
        <v>0</v>
      </c>
      <c r="E63" s="252">
        <f>IF($E$10&lt;=$E$11,"",cal!E62)</f>
        <v>0</v>
      </c>
      <c r="F63" s="253">
        <f>IF($E$10&lt;=$E$11,"",cal!F62)</f>
        <v>0</v>
      </c>
      <c r="G63" s="254" t="str">
        <f>IF($I$11&gt;=$K$11,"",cal!G62)</f>
        <v/>
      </c>
      <c r="H63" s="254" t="str">
        <f>IF($I$11&gt;=$K$11,"",cal!H62)</f>
        <v/>
      </c>
      <c r="I63" s="252" t="str">
        <f>IF($I$11&gt;=$K$11,"",cal!I62)</f>
        <v/>
      </c>
      <c r="J63" s="255" t="str">
        <f>IF($I$11&gt;=$K$11,"",cal!J62)</f>
        <v/>
      </c>
      <c r="K63" s="256">
        <f>IF(cal!K62=-8,"",cal!K62)</f>
        <v>0</v>
      </c>
      <c r="L63" s="257" t="str">
        <f>IF(cal!L62=0,"",cal!L62)</f>
        <v/>
      </c>
      <c r="M63" s="258" t="str">
        <f>IF(cal!M62=0,"",cal!M62)</f>
        <v/>
      </c>
      <c r="N63" s="259" t="str">
        <f>IF(cal!N62=0,"",cal!N62)</f>
        <v/>
      </c>
      <c r="O63" s="254"/>
      <c r="P63" s="259"/>
      <c r="Q63" s="190"/>
      <c r="R63" s="190"/>
      <c r="S63" s="260"/>
      <c r="T63" s="190"/>
      <c r="U63" s="190"/>
    </row>
    <row r="64" spans="2:21" ht="0.2" customHeight="1" x14ac:dyDescent="0.25">
      <c r="B64" s="124">
        <f>cal!B63</f>
        <v>0</v>
      </c>
      <c r="C64" s="125">
        <f>cal!C63</f>
        <v>0</v>
      </c>
      <c r="D64" s="251">
        <f>IF($E$10&lt;=$E$11,"",cal!D63)</f>
        <v>0</v>
      </c>
      <c r="E64" s="252">
        <f>IF($E$10&lt;=$E$11,"",cal!E63)</f>
        <v>0</v>
      </c>
      <c r="F64" s="253">
        <f>IF($E$10&lt;=$E$11,"",cal!F63)</f>
        <v>0</v>
      </c>
      <c r="G64" s="254" t="str">
        <f>IF($I$11&gt;=$K$11,"",cal!G63)</f>
        <v/>
      </c>
      <c r="H64" s="254" t="str">
        <f>IF($I$11&gt;=$K$11,"",cal!H63)</f>
        <v/>
      </c>
      <c r="I64" s="252" t="str">
        <f>IF($I$11&gt;=$K$11,"",cal!I63)</f>
        <v/>
      </c>
      <c r="J64" s="255" t="str">
        <f>IF($I$11&gt;=$K$11,"",cal!J63)</f>
        <v/>
      </c>
      <c r="K64" s="256">
        <f>IF(cal!K63=-8,"",cal!K63)</f>
        <v>0</v>
      </c>
      <c r="L64" s="257" t="str">
        <f>IF(cal!L63=0,"",cal!L63)</f>
        <v/>
      </c>
      <c r="M64" s="258" t="str">
        <f>IF(cal!M63=0,"",cal!M63)</f>
        <v/>
      </c>
      <c r="N64" s="259" t="str">
        <f>IF(cal!N63=0,"",cal!N63)</f>
        <v/>
      </c>
      <c r="O64" s="254"/>
      <c r="P64" s="259"/>
      <c r="Q64" s="190"/>
      <c r="R64" s="190"/>
      <c r="S64" s="260"/>
      <c r="T64" s="190"/>
      <c r="U64" s="190"/>
    </row>
    <row r="65" spans="2:21" ht="0.2" customHeight="1" x14ac:dyDescent="0.25">
      <c r="B65" s="290" t="str">
        <f>IF(cal!$X$16=1,"",IF(cal!$X$16=2,"",cal!B64))</f>
        <v/>
      </c>
      <c r="C65" s="291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3"/>
      <c r="Q65" s="190"/>
      <c r="R65" s="190"/>
      <c r="S65" s="250"/>
      <c r="T65" s="190"/>
      <c r="U65" s="190"/>
    </row>
    <row r="66" spans="2:21" ht="0.2" customHeight="1" x14ac:dyDescent="0.25">
      <c r="B66" s="124">
        <f>cal!B65</f>
        <v>0</v>
      </c>
      <c r="C66" s="125">
        <f>cal!C65</f>
        <v>0</v>
      </c>
      <c r="D66" s="251">
        <f>IF($E$10&lt;=$E$11,cal!$AC$3,cal!D65)</f>
        <v>0</v>
      </c>
      <c r="E66" s="252">
        <f>IF($E$10&lt;=$E$11,"",cal!E65)</f>
        <v>0</v>
      </c>
      <c r="F66" s="253">
        <f>IF($E$10&lt;=$E$11,"",cal!F65)</f>
        <v>0</v>
      </c>
      <c r="G66" s="254" t="str">
        <f>IF($I$11&gt;=$K$11,cal!$AC$3,cal!G65)</f>
        <v>Temp.</v>
      </c>
      <c r="H66" s="254" t="str">
        <f>IF($I$11&gt;=$K$11,"",cal!H65)</f>
        <v/>
      </c>
      <c r="I66" s="252" t="str">
        <f>IF($I$11&gt;=$K$11,"",cal!I65)</f>
        <v/>
      </c>
      <c r="J66" s="255" t="str">
        <f>IF($I$11&gt;=$K$11,"",cal!J65)</f>
        <v/>
      </c>
      <c r="K66" s="256">
        <f>IF(cal!K65=-8,"",cal!K65)</f>
        <v>0</v>
      </c>
      <c r="L66" s="257" t="str">
        <f>IF(cal!L65=0,"",cal!L65)</f>
        <v/>
      </c>
      <c r="M66" s="258" t="str">
        <f>IF(cal!M65=0,"",cal!M65)</f>
        <v/>
      </c>
      <c r="N66" s="259" t="str">
        <f>IF(cal!N65=0,"",cal!N65)</f>
        <v/>
      </c>
      <c r="O66" s="254"/>
      <c r="P66" s="259"/>
      <c r="Q66" s="190"/>
      <c r="R66" s="190"/>
      <c r="S66" s="260"/>
      <c r="T66" s="190"/>
      <c r="U66" s="190"/>
    </row>
    <row r="67" spans="2:21" ht="0.2" customHeight="1" x14ac:dyDescent="0.25">
      <c r="B67" s="124">
        <f>cal!B66</f>
        <v>0</v>
      </c>
      <c r="C67" s="125">
        <f>cal!C66</f>
        <v>0</v>
      </c>
      <c r="D67" s="251">
        <f>IF($E$10&lt;=$E$11,cal!$AC$4,cal!D66)</f>
        <v>0</v>
      </c>
      <c r="E67" s="252">
        <f>IF($E$10&lt;=$E$11,"",cal!E66)</f>
        <v>0</v>
      </c>
      <c r="F67" s="253">
        <f>IF($E$10&lt;=$E$11,"",cal!F66)</f>
        <v>0</v>
      </c>
      <c r="G67" s="254" t="str">
        <f>IF($I$11&gt;=$K$11,cal!$AC$5,cal!G66)</f>
        <v>cooling!</v>
      </c>
      <c r="H67" s="254" t="str">
        <f>IF($I$11&gt;=$K$11,"",cal!H66)</f>
        <v/>
      </c>
      <c r="I67" s="252" t="str">
        <f>IF($I$11&gt;=$K$11,"",cal!I66)</f>
        <v/>
      </c>
      <c r="J67" s="255" t="str">
        <f>IF($I$11&gt;=$K$11,"",cal!J66)</f>
        <v/>
      </c>
      <c r="K67" s="256">
        <f>IF(cal!K66=-8,"",cal!K66)</f>
        <v>0</v>
      </c>
      <c r="L67" s="257" t="str">
        <f>IF(cal!L66=0,"",cal!L66)</f>
        <v/>
      </c>
      <c r="M67" s="258" t="str">
        <f>IF(cal!M66=0,"",cal!M66)</f>
        <v/>
      </c>
      <c r="N67" s="259" t="str">
        <f>IF(cal!N66=0,"",cal!N66)</f>
        <v/>
      </c>
      <c r="O67" s="254"/>
      <c r="P67" s="259"/>
      <c r="Q67" s="190"/>
      <c r="R67" s="190"/>
      <c r="S67" s="260"/>
      <c r="T67" s="190"/>
      <c r="U67" s="190"/>
    </row>
    <row r="68" spans="2:21" ht="0.2" customHeight="1" x14ac:dyDescent="0.25">
      <c r="B68" s="124">
        <f>cal!B67</f>
        <v>0</v>
      </c>
      <c r="C68" s="125">
        <f>cal!C67</f>
        <v>0</v>
      </c>
      <c r="D68" s="251">
        <f>IF($E$10&lt;=$E$11,"",cal!D67)</f>
        <v>0</v>
      </c>
      <c r="E68" s="252">
        <f>IF($E$10&lt;=$E$11,"",cal!E67)</f>
        <v>0</v>
      </c>
      <c r="F68" s="253">
        <f>IF($E$10&lt;=$E$11,"",cal!F67)</f>
        <v>0</v>
      </c>
      <c r="G68" s="254" t="str">
        <f>IF($I$11&gt;=$K$11,"",cal!G67)</f>
        <v/>
      </c>
      <c r="H68" s="254" t="str">
        <f>IF($I$11&gt;=$K$11,"",cal!H67)</f>
        <v/>
      </c>
      <c r="I68" s="252" t="str">
        <f>IF($I$11&gt;=$K$11,"",cal!I67)</f>
        <v/>
      </c>
      <c r="J68" s="255" t="str">
        <f>IF($I$11&gt;=$K$11,"",cal!J67)</f>
        <v/>
      </c>
      <c r="K68" s="256">
        <f>IF(cal!K67=-8,"",cal!K67)</f>
        <v>0</v>
      </c>
      <c r="L68" s="257" t="str">
        <f>IF(cal!L67=0,"",cal!L67)</f>
        <v/>
      </c>
      <c r="M68" s="258" t="str">
        <f>IF(cal!M67=0,"",cal!M67)</f>
        <v/>
      </c>
      <c r="N68" s="259" t="str">
        <f>IF(cal!N67=0,"",cal!N67)</f>
        <v/>
      </c>
      <c r="O68" s="254"/>
      <c r="P68" s="259"/>
      <c r="Q68" s="190"/>
      <c r="R68" s="190"/>
      <c r="S68" s="260"/>
      <c r="T68" s="190"/>
      <c r="U68" s="190"/>
    </row>
    <row r="69" spans="2:21" ht="0.2" customHeight="1" x14ac:dyDescent="0.25">
      <c r="B69" s="124">
        <f>cal!B68</f>
        <v>0</v>
      </c>
      <c r="C69" s="125">
        <f>cal!C68</f>
        <v>0</v>
      </c>
      <c r="D69" s="251">
        <f>IF($E$10&lt;=$E$11,"",cal!D68)</f>
        <v>0</v>
      </c>
      <c r="E69" s="252">
        <f>IF($E$10&lt;=$E$11,"",cal!E68)</f>
        <v>0</v>
      </c>
      <c r="F69" s="253">
        <f>IF($E$10&lt;=$E$11,"",cal!F68)</f>
        <v>0</v>
      </c>
      <c r="G69" s="254" t="str">
        <f>IF($I$11&gt;=$K$11,"",cal!G68)</f>
        <v/>
      </c>
      <c r="H69" s="254" t="str">
        <f>IF($I$11&gt;=$K$11,"",cal!H68)</f>
        <v/>
      </c>
      <c r="I69" s="252" t="str">
        <f>IF($I$11&gt;=$K$11,"",cal!I68)</f>
        <v/>
      </c>
      <c r="J69" s="255" t="str">
        <f>IF($I$11&gt;=$K$11,"",cal!J68)</f>
        <v/>
      </c>
      <c r="K69" s="256">
        <f>IF(cal!K68=-8,"",cal!K68)</f>
        <v>0</v>
      </c>
      <c r="L69" s="257" t="str">
        <f>IF(cal!L68=0,"",cal!L68)</f>
        <v/>
      </c>
      <c r="M69" s="258" t="str">
        <f>IF(cal!M68=0,"",cal!M68)</f>
        <v/>
      </c>
      <c r="N69" s="259" t="str">
        <f>IF(cal!N68=0,"",cal!N68)</f>
        <v/>
      </c>
      <c r="O69" s="254"/>
      <c r="P69" s="259"/>
      <c r="Q69" s="190"/>
      <c r="R69" s="190"/>
      <c r="S69" s="260"/>
      <c r="T69" s="190"/>
      <c r="U69" s="190"/>
    </row>
    <row r="70" spans="2:21" ht="0.2" customHeight="1" x14ac:dyDescent="0.25">
      <c r="B70" s="124">
        <f>cal!B69</f>
        <v>0</v>
      </c>
      <c r="C70" s="125">
        <f>cal!C69</f>
        <v>0</v>
      </c>
      <c r="D70" s="251">
        <f>IF($E$10&lt;=$E$11,"",cal!D69)</f>
        <v>0</v>
      </c>
      <c r="E70" s="252">
        <f>IF($E$10&lt;=$E$11,"",cal!E69)</f>
        <v>0</v>
      </c>
      <c r="F70" s="253">
        <f>IF($E$10&lt;=$E$11,"",cal!F69)</f>
        <v>0</v>
      </c>
      <c r="G70" s="254" t="str">
        <f>IF($I$11&gt;=$K$11,"",cal!G69)</f>
        <v/>
      </c>
      <c r="H70" s="254" t="str">
        <f>IF($I$11&gt;=$K$11,"",cal!H69)</f>
        <v/>
      </c>
      <c r="I70" s="252" t="str">
        <f>IF($I$11&gt;=$K$11,"",cal!I69)</f>
        <v/>
      </c>
      <c r="J70" s="255" t="str">
        <f>IF($I$11&gt;=$K$11,"",cal!J69)</f>
        <v/>
      </c>
      <c r="K70" s="256">
        <f>IF(cal!K69=-8,"",cal!K69)</f>
        <v>0</v>
      </c>
      <c r="L70" s="257" t="str">
        <f>IF(cal!L69=0,"",cal!L69)</f>
        <v/>
      </c>
      <c r="M70" s="258" t="str">
        <f>IF(cal!M69=0,"",cal!M69)</f>
        <v/>
      </c>
      <c r="N70" s="259" t="str">
        <f>IF(cal!N69=0,"",cal!N69)</f>
        <v/>
      </c>
      <c r="O70" s="254"/>
      <c r="P70" s="259"/>
      <c r="Q70" s="190"/>
      <c r="R70" s="190"/>
      <c r="S70" s="260"/>
      <c r="T70" s="190"/>
      <c r="U70" s="190"/>
    </row>
    <row r="71" spans="2:21" ht="9.4" customHeight="1" x14ac:dyDescent="0.25">
      <c r="B71" s="230" t="str">
        <f>cal!B47</f>
        <v>*Values according to EN 16430</v>
      </c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2"/>
      <c r="P71" s="232" t="s">
        <v>243</v>
      </c>
      <c r="S71" s="123"/>
    </row>
    <row r="72" spans="2:21" ht="9.4" customHeight="1" x14ac:dyDescent="0.25">
      <c r="B72" s="126" t="str">
        <f>cal!B48</f>
        <v>**Sound power according to ISO 3741:2010</v>
      </c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</row>
    <row r="73" spans="2:21" ht="9" customHeight="1" x14ac:dyDescent="0.25">
      <c r="B73" s="126" t="str">
        <f>cal!B49</f>
        <v>***Sound pressure with an assumed room damping of 8dB(A)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</row>
    <row r="74" spans="2:21" s="107" customFormat="1" ht="16.149999999999999" hidden="1" customHeight="1" x14ac:dyDescent="0.25"/>
    <row r="75" spans="2:21" ht="15" hidden="1" x14ac:dyDescent="0.25"/>
    <row r="76" spans="2:21" ht="15" hidden="1" x14ac:dyDescent="0.25"/>
    <row r="77" spans="2:21" ht="15" hidden="1" x14ac:dyDescent="0.25"/>
    <row r="78" spans="2:21" ht="15" hidden="1" x14ac:dyDescent="0.25"/>
    <row r="79" spans="2:21" ht="15" hidden="1" x14ac:dyDescent="0.25"/>
    <row r="80" spans="2:21" ht="15" hidden="1" x14ac:dyDescent="0.25"/>
    <row r="81" s="113" customFormat="1" ht="15" hidden="1" x14ac:dyDescent="0.25"/>
  </sheetData>
  <sheetProtection algorithmName="SHA-512" hashValue="E/c7wzmhtl28vvi9iewYt+1XwGlZ7AGjjUuoffAs+JRxWclv4jMK38AP3o0pOW/pGpWZFdJpQjyONh6pdz2ruw==" saltValue="bbA7w/Kf64ibEYACwD5h9A==" spinCount="100000" sheet="1" objects="1" scenarios="1" selectLockedCells="1"/>
  <dataConsolidate/>
  <mergeCells count="46">
    <mergeCell ref="M1:Q1"/>
    <mergeCell ref="M2:Q2"/>
    <mergeCell ref="M3:Q3"/>
    <mergeCell ref="B2:L2"/>
    <mergeCell ref="B12:D12"/>
    <mergeCell ref="M10:N10"/>
    <mergeCell ref="K6:N6"/>
    <mergeCell ref="G5:J5"/>
    <mergeCell ref="K4:L5"/>
    <mergeCell ref="B11:D11"/>
    <mergeCell ref="B10:D10"/>
    <mergeCell ref="M4:N4"/>
    <mergeCell ref="M5:N5"/>
    <mergeCell ref="M11:N14"/>
    <mergeCell ref="B5:D5"/>
    <mergeCell ref="G4:J4"/>
    <mergeCell ref="G6:J6"/>
    <mergeCell ref="G30:G34"/>
    <mergeCell ref="H30:H34"/>
    <mergeCell ref="I30:I34"/>
    <mergeCell ref="J30:J34"/>
    <mergeCell ref="B47:P47"/>
    <mergeCell ref="B53:P53"/>
    <mergeCell ref="B59:P59"/>
    <mergeCell ref="G36:G40"/>
    <mergeCell ref="H36:H40"/>
    <mergeCell ref="J42:J46"/>
    <mergeCell ref="I42:I46"/>
    <mergeCell ref="H42:H46"/>
    <mergeCell ref="G42:G46"/>
    <mergeCell ref="B65:P65"/>
    <mergeCell ref="B17:P17"/>
    <mergeCell ref="B23:P23"/>
    <mergeCell ref="B29:P29"/>
    <mergeCell ref="B35:P35"/>
    <mergeCell ref="B41:P41"/>
    <mergeCell ref="G18:G22"/>
    <mergeCell ref="H18:H22"/>
    <mergeCell ref="I18:I22"/>
    <mergeCell ref="J18:J22"/>
    <mergeCell ref="I36:I40"/>
    <mergeCell ref="J36:J40"/>
    <mergeCell ref="G24:G28"/>
    <mergeCell ref="H24:H28"/>
    <mergeCell ref="I24:I28"/>
    <mergeCell ref="J24:J28"/>
  </mergeCells>
  <dataValidations count="5">
    <dataValidation allowBlank="1" showInputMessage="1" sqref="E10:E12" xr:uid="{00000000-0002-0000-0000-000000000000}"/>
    <dataValidation type="decimal" errorStyle="information" allowBlank="1" prompt="20°C bis 35°C" sqref="K13" xr:uid="{00000000-0002-0000-0000-000001000000}">
      <formula1>0.3</formula1>
      <formula2>0.8</formula2>
    </dataValidation>
    <dataValidation type="whole" errorStyle="information" allowBlank="1" prompt="Eingabe zwischen 5°C bis 20°C" sqref="I11" xr:uid="{00000000-0002-0000-0000-000002000000}">
      <formula1>5</formula1>
      <formula2>20</formula2>
    </dataValidation>
    <dataValidation type="whole" errorStyle="information" allowBlank="1" error="Eingabe außerhalb des gültigen Bereichs." prompt="20°C bis 35°C" sqref="K12" xr:uid="{00000000-0002-0000-0000-000004000000}">
      <formula1>20</formula1>
      <formula2>35</formula2>
    </dataValidation>
    <dataValidation type="whole" errorStyle="information" allowBlank="1" error="Eingabe außerhalb des gültigen Bereichs." prompt="Eingabe zwischen Vorlauftemp. und Raumtemp." sqref="K11" xr:uid="{00000000-0002-0000-0000-000003000000}">
      <formula1>I11</formula1>
      <formula2>K12</formula2>
    </dataValidation>
  </dataValidations>
  <pageMargins left="0.25" right="0.25" top="0.75" bottom="0.75" header="0.3" footer="0.3"/>
  <pageSetup paperSize="9" orientation="portrait" r:id="rId1"/>
  <headerFooter>
    <oddFooter xml:space="preserve">&amp;C&amp;8
</oddFooter>
  </headerFooter>
  <ignoredErrors>
    <ignoredError sqref="B66:C70 B48:C52 B43:C46 B36:C40 B30:C34 B24:C28 B22:C22 B54:C56 B18:C18 K18:L18 K19:N22 K24:N28 K30:N34 K36:N40 B42:C42 B19:C19 B20:C20 B21:C21 N18" unlockedFormula="1"/>
  </ignoredErrors>
  <drawing r:id="rId2"/>
  <legacyDrawing r:id="rId3"/>
  <controls>
    <mc:AlternateContent xmlns:mc="http://schemas.openxmlformats.org/markup-compatibility/2006">
      <mc:Choice Requires="x14">
        <control shapeId="6149" r:id="rId4" name="rbtnSI">
          <controlPr defaultSize="0" autoFill="0" autoLine="0" r:id="rId5">
            <anchor moveWithCells="1">
              <from>
                <xdr:col>12</xdr:col>
                <xdr:colOff>38100</xdr:colOff>
                <xdr:row>10</xdr:row>
                <xdr:rowOff>38100</xdr:rowOff>
              </from>
              <to>
                <xdr:col>13</xdr:col>
                <xdr:colOff>295275</xdr:colOff>
                <xdr:row>11</xdr:row>
                <xdr:rowOff>152400</xdr:rowOff>
              </to>
            </anchor>
          </controlPr>
        </control>
      </mc:Choice>
      <mc:Fallback>
        <control shapeId="6149" r:id="rId4" name="rbtnSI"/>
      </mc:Fallback>
    </mc:AlternateContent>
    <mc:AlternateContent xmlns:mc="http://schemas.openxmlformats.org/markup-compatibility/2006">
      <mc:Choice Requires="x14">
        <control shapeId="6150" r:id="rId6" name="rbtnImperial">
          <controlPr defaultSize="0" autoFill="0" autoLine="0" r:id="rId7">
            <anchor moveWithCells="1">
              <from>
                <xdr:col>12</xdr:col>
                <xdr:colOff>38100</xdr:colOff>
                <xdr:row>11</xdr:row>
                <xdr:rowOff>104775</xdr:rowOff>
              </from>
              <to>
                <xdr:col>13</xdr:col>
                <xdr:colOff>447675</xdr:colOff>
                <xdr:row>13</xdr:row>
                <xdr:rowOff>47625</xdr:rowOff>
              </to>
            </anchor>
          </controlPr>
        </control>
      </mc:Choice>
      <mc:Fallback>
        <control shapeId="6150" r:id="rId6" name="rbtnImperial"/>
      </mc:Fallback>
    </mc:AlternateContent>
    <mc:AlternateContent xmlns:mc="http://schemas.openxmlformats.org/markup-compatibility/2006">
      <mc:Choice Requires="x14">
        <control shapeId="6153" r:id="rId8" name="btnCopy">
          <controlPr defaultSize="0" autoLine="0" r:id="rId9">
            <anchor moveWithCells="1">
              <from>
                <xdr:col>1</xdr:col>
                <xdr:colOff>200025</xdr:colOff>
                <xdr:row>3</xdr:row>
                <xdr:rowOff>9525</xdr:rowOff>
              </from>
              <to>
                <xdr:col>5</xdr:col>
                <xdr:colOff>247650</xdr:colOff>
                <xdr:row>5</xdr:row>
                <xdr:rowOff>9525</xdr:rowOff>
              </to>
            </anchor>
          </controlPr>
        </control>
      </mc:Choice>
      <mc:Fallback>
        <control shapeId="6153" r:id="rId8" name="btnCopy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cal!$G$1:$N$1</xm:f>
          </x14:formula1>
          <xm:sqref>K4:L5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R71"/>
  <sheetViews>
    <sheetView workbookViewId="0">
      <selection activeCell="A15" sqref="A15:M15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24" t="s">
        <v>33</v>
      </c>
      <c r="B2" s="23"/>
    </row>
    <row r="3" spans="1:18" s="3" customFormat="1" x14ac:dyDescent="0.25">
      <c r="A3" s="22"/>
    </row>
    <row r="4" spans="1:18" s="3" customFormat="1" x14ac:dyDescent="0.25">
      <c r="A4" s="29" t="s">
        <v>31</v>
      </c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3" t="s">
        <v>200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222</v>
      </c>
      <c r="M6" s="383"/>
    </row>
    <row r="7" spans="1:18" ht="15.75" thickBot="1" x14ac:dyDescent="0.3">
      <c r="A7" s="13" t="s">
        <v>216</v>
      </c>
      <c r="B7" s="8"/>
      <c r="C7" s="8"/>
      <c r="D7" s="8"/>
      <c r="E7" s="8"/>
      <c r="F7" s="9" t="s">
        <v>219</v>
      </c>
      <c r="G7" s="9"/>
      <c r="H7" s="9"/>
      <c r="I7" s="8"/>
      <c r="J7" s="8"/>
      <c r="K7" s="8"/>
      <c r="L7" s="384"/>
      <c r="M7" s="385"/>
      <c r="Q7" s="1" t="s">
        <v>195</v>
      </c>
    </row>
    <row r="8" spans="1:18" ht="15.75" thickBot="1" x14ac:dyDescent="0.3">
      <c r="A8" s="378" t="s">
        <v>217</v>
      </c>
      <c r="B8" s="379"/>
      <c r="C8" s="379"/>
      <c r="D8" s="88">
        <f>cal!E9</f>
        <v>75</v>
      </c>
      <c r="E8" s="261" t="str">
        <f>IF(cal!$X$4=1,"°C",IF(cal!$X$4=2,"°F"))</f>
        <v>°C</v>
      </c>
      <c r="F8" s="379" t="str">
        <f>A8</f>
        <v>Voda na přívodu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221</v>
      </c>
      <c r="M8" s="381"/>
      <c r="Q8" s="1" t="s">
        <v>196</v>
      </c>
    </row>
    <row r="9" spans="1:18" ht="15.75" thickTop="1" x14ac:dyDescent="0.25">
      <c r="A9" s="378" t="s">
        <v>218</v>
      </c>
      <c r="B9" s="379"/>
      <c r="C9" s="379"/>
      <c r="D9" s="88">
        <f>cal!E10</f>
        <v>65</v>
      </c>
      <c r="E9" s="261" t="str">
        <f>E8</f>
        <v>°C</v>
      </c>
      <c r="F9" s="379" t="str">
        <f>A9</f>
        <v>Voda na zpátečce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197</v>
      </c>
    </row>
    <row r="10" spans="1:18" x14ac:dyDescent="0.25">
      <c r="A10" s="378" t="s">
        <v>224</v>
      </c>
      <c r="B10" s="379"/>
      <c r="C10" s="379"/>
      <c r="D10" s="88">
        <f>cal!E11</f>
        <v>20</v>
      </c>
      <c r="E10" s="261" t="str">
        <f>E8</f>
        <v>°C</v>
      </c>
      <c r="F10" s="379" t="str">
        <f>A10</f>
        <v>"Suchá" Teplota vzduchu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220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27" t="s">
        <v>206</v>
      </c>
      <c r="B14" s="20" t="s">
        <v>207</v>
      </c>
      <c r="C14" s="27" t="str">
        <f>CONCATENATE("Výkon Topení * ",ROUND(D8,0),"/",ROUND(D9,0),"/",ROUND(D10,0)," ["&amp;IF(cal!$X$4=1,"W",IF(cal!$X$4=2,"Btu/h"))&amp;"]")</f>
        <v>Výkon Topení * 75/65/20 [W]</v>
      </c>
      <c r="D14" s="30" t="str">
        <f>"Průtok vody, topení ["&amp;IF(cal!$X$4=1,"l/h",IF(cal!$X$4=2,"GPM"))&amp;"]"</f>
        <v>Průtok vody, topení [l/h]</v>
      </c>
      <c r="E14" s="33" t="str">
        <f>"Tlaková ztráta ["&amp;IF(cal!$X$4=1,"kPa",IF(cal!$X$4=2,"ftH2O"))&amp;"]"</f>
        <v>Tlaková ztráta [kPa]</v>
      </c>
      <c r="F14" s="20" t="str">
        <f>CONCATENATE("Výkon chlazení Znatelný * ",ROUND(J8,0),"/",ROUND(J9,0),"/",ROUND(J10,0)," ["&amp;IF(cal!$X$4=1,"W",IF(cal!$X$4=2,"Btu/h"))&amp;"]")</f>
        <v>Výkon chlazení Znatelný * 0/0/0 [W]</v>
      </c>
      <c r="G14" s="20" t="str">
        <f>CONCATENATE("Výkon chlazení Celkový ",ROUND(J8,0),"/",ROUND(J9,0),"/",ROUND(J10,0)," ["&amp;IF(cal!$X$4=1,"W",IF(cal!$X$4=2,"Btu/h"))&amp;"]")</f>
        <v>Výkon chlazení Celkový 0/0/0 [W]</v>
      </c>
      <c r="H14" s="20" t="str">
        <f>"Průtok vody,chlazení ["&amp;IF(cal!$X$4=1,"l/h",IF(cal!$X$4=2,"GPM"))&amp;"]"</f>
        <v>Průtok vody,chlazení [l/h]</v>
      </c>
      <c r="I14" s="21" t="str">
        <f>E14</f>
        <v>Tlaková ztráta [kPa]</v>
      </c>
      <c r="J14" s="161" t="s">
        <v>203</v>
      </c>
      <c r="K14" s="165" t="s">
        <v>204</v>
      </c>
      <c r="L14" s="162" t="s">
        <v>205</v>
      </c>
      <c r="M14" s="26" t="str">
        <f>"Průtok vzduchu ["&amp;IF(cal!$X$4=1,"m³/h",IF(cal!$X$4=2,"CFM"))&amp;"]"</f>
        <v>Průtok vzduchu [m³/h]</v>
      </c>
      <c r="N14" s="191" t="str">
        <f>"Air exhaust temp. heating ["&amp;IF(cal!$X$4=1,"°C",IF(cal!$X$4=2,"°F"))&amp;"]"</f>
        <v>Air exhaust temp. heating [°C]</v>
      </c>
      <c r="O14" s="192" t="str">
        <f>"Air exhaust temp. cooling ["&amp;IF(cal!$X$4=1,"°C",IF(cal!$X$4=2,"°F"))&amp;"]"</f>
        <v>Air exhaust temp. cooling [°C]</v>
      </c>
    </row>
    <row r="15" spans="1:18" ht="18" customHeight="1" x14ac:dyDescent="0.25">
      <c r="A15" s="375" t="str">
        <f>cal!$Z$1&amp;", "&amp;$R$15&amp;" "&amp;ROUND(cal!Y22,1)&amp;IF(cal!$X$4=1," cm",IF(cal!$X$4=2," in"))&amp;", "&amp;$R$16&amp;" "&amp;ROUND(cal!AA22,1)&amp;IF(cal!$X$4=1," cm",IF(cal!$X$4=2," in"))&amp;", "&amp;$R$17&amp;" "&amp;ROUND(cal!AC22,1)&amp;IF(cal!$X$4=1," cm",IF(cal!$X$4=2," in"))&amp;" (Typ 1)"</f>
        <v>Micro Canal, Výška 6 cm, Šířka 14 cm, Délka 60 cm (Typ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200</v>
      </c>
      <c r="R15" s="113" t="s">
        <v>225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201</v>
      </c>
      <c r="R16" s="113" t="s">
        <v>227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202</v>
      </c>
      <c r="R17" s="113" t="s">
        <v>226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Micro Canal Výška 6 cm Šířka 14 cm Délka 95 cm (Typ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Micro Canal Výška 6 cm Šířka 14 cm Délka 130 cm (Type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Micro Canal Výška 6 cm Šířka 14 cm Délka 165 cm (Typ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ht="15" customHeight="1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Micro Canal Výška 6 cm Šířka 14 cm Délka 200 cm (Typ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ht="15" customHeight="1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Micro Canal Výška 0 cm Šířka 0 cm Délka 0 cm (Typ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Micro Canal Výška 0 cm Šířka 0 cm Délka 0 cm (Typ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Micro Canal Výška 0 cm Šířka 0 cm Délka 0 cm (Typ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Micro Canal Výška 0 cm Šířka 0 cm Délka 0 cm (Typ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208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209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210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19"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  <mergeCell ref="A9:C9"/>
    <mergeCell ref="F9:I9"/>
    <mergeCell ref="L6:M6"/>
    <mergeCell ref="L7:M7"/>
    <mergeCell ref="A8:C8"/>
    <mergeCell ref="F8:I8"/>
    <mergeCell ref="L8:M8"/>
  </mergeCells>
  <dataValidations count="7">
    <dataValidation type="whole" errorStyle="information" allowBlank="1" showErrorMessage="1" error="Eingabe außerhalb des gültigen Bereichs." prompt="20°C bis 35°C" sqref="J10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9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9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R71"/>
  <sheetViews>
    <sheetView workbookViewId="0">
      <selection activeCell="A15" sqref="A15:M15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24" t="s">
        <v>33</v>
      </c>
      <c r="B2" s="23"/>
    </row>
    <row r="3" spans="1:18" s="3" customFormat="1" x14ac:dyDescent="0.25">
      <c r="A3" s="22"/>
    </row>
    <row r="4" spans="1:18" s="3" customFormat="1" x14ac:dyDescent="0.25">
      <c r="A4" s="29" t="s">
        <v>31</v>
      </c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3" t="s">
        <v>22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134</v>
      </c>
      <c r="M6" s="383"/>
    </row>
    <row r="7" spans="1:18" ht="15.75" thickBot="1" x14ac:dyDescent="0.3">
      <c r="A7" s="13" t="s">
        <v>23</v>
      </c>
      <c r="B7" s="8"/>
      <c r="C7" s="8"/>
      <c r="D7" s="8"/>
      <c r="E7" s="8"/>
      <c r="F7" s="9" t="s">
        <v>24</v>
      </c>
      <c r="G7" s="9"/>
      <c r="H7" s="9"/>
      <c r="I7" s="8"/>
      <c r="J7" s="8"/>
      <c r="K7" s="8"/>
      <c r="L7" s="384"/>
      <c r="M7" s="385"/>
      <c r="Q7" s="1" t="s">
        <v>160</v>
      </c>
    </row>
    <row r="8" spans="1:18" ht="15.75" thickBot="1" x14ac:dyDescent="0.3">
      <c r="A8" s="378" t="str">
        <f>"Inlet temp."</f>
        <v>Inlet temp.</v>
      </c>
      <c r="B8" s="379"/>
      <c r="C8" s="379"/>
      <c r="D8" s="88">
        <f>cal!E9</f>
        <v>75</v>
      </c>
      <c r="E8" s="261" t="str">
        <f>IF(cal!$X$4=1,"°C",IF(cal!$X$4=2,"°F"))</f>
        <v>°C</v>
      </c>
      <c r="F8" s="379" t="str">
        <f>A8</f>
        <v>Inlet temp.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103</v>
      </c>
      <c r="M8" s="381"/>
      <c r="Q8" s="1" t="s">
        <v>161</v>
      </c>
    </row>
    <row r="9" spans="1:18" ht="15.75" thickTop="1" x14ac:dyDescent="0.25">
      <c r="A9" s="378" t="str">
        <f>"Return temp."</f>
        <v>Return temp.</v>
      </c>
      <c r="B9" s="379"/>
      <c r="C9" s="379"/>
      <c r="D9" s="88">
        <f>cal!E10</f>
        <v>65</v>
      </c>
      <c r="E9" s="261" t="str">
        <f>E8</f>
        <v>°C</v>
      </c>
      <c r="F9" s="379" t="str">
        <f>A9</f>
        <v>Return temp.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162</v>
      </c>
    </row>
    <row r="10" spans="1:18" x14ac:dyDescent="0.25">
      <c r="A10" s="378" t="str">
        <f>"Room temp."</f>
        <v>Room temp.</v>
      </c>
      <c r="B10" s="379"/>
      <c r="C10" s="379"/>
      <c r="D10" s="88">
        <f>cal!E11</f>
        <v>20</v>
      </c>
      <c r="E10" s="261" t="str">
        <f>E8</f>
        <v>°C</v>
      </c>
      <c r="F10" s="379" t="str">
        <f>A10</f>
        <v>Room temp.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142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27" t="s">
        <v>25</v>
      </c>
      <c r="B14" s="20" t="s">
        <v>26</v>
      </c>
      <c r="C14" s="27" t="str">
        <f>CONCATENATE("Heat output * ",ROUND(D8,0),"/",ROUND(D9,0),"/",ROUND(D10,0)," ["&amp;IF(cal!$X$4=1,"W",IF(cal!$X$4=2,"Btu/h"))&amp;"]")</f>
        <v>Heat output * 75/65/20 [W]</v>
      </c>
      <c r="D14" s="30" t="str">
        <f>"Water flowrate, heating ["&amp;IF(cal!$X$4=1,"l/h",IF(cal!$X$4=2,"GPM"))&amp;"]"</f>
        <v>Water flowrate, heating [l/h]</v>
      </c>
      <c r="E14" s="33" t="str">
        <f>"Watersided pressure loss ["&amp;IF(cal!$X$4=1,"kPa",IF(cal!$X$4=2,"inH2O"))&amp;"]"</f>
        <v>Watersided pressure loss [kPa]</v>
      </c>
      <c r="F14" s="20" t="str">
        <f>CONCATENATE("Sens. cooling capacity * ",ROUND(J8,0),"/",ROUND(J9,0),"/",ROUND(J10,0)," ["&amp;IF(cal!$X$4=1,"W",IF(cal!$X$4=2,"Btu/h"))&amp;"]")</f>
        <v>Sens. cooling capacity * 0/0/0 [W]</v>
      </c>
      <c r="G14" s="20" t="str">
        <f>CONCATENATE("Tot. cooling capacity ",ROUND(J8,0),"/",ROUND(J9,0),"/",ROUND(J10,0)," ["&amp;IF(cal!$X$4=1,"W",IF(cal!$X$4=2,"Btu/h"))&amp;"]")</f>
        <v>Tot. cooling capacity 0/0/0 [W]</v>
      </c>
      <c r="H14" s="20" t="str">
        <f>"Water flowrate, cooling ["&amp;IF(cal!$X$4=1,"l/h",IF(cal!$X$4=2,"GPM"))&amp;"]"</f>
        <v>Water flowrate, cooling [l/h]</v>
      </c>
      <c r="I14" s="21" t="str">
        <f>"Watersided pressure loss ["&amp;IF(cal!$X$4=1,"kPa",IF(cal!$X$4=2,"ftH2O"))&amp;"]"</f>
        <v>Watersided pressure loss [kPa]</v>
      </c>
      <c r="J14" s="27" t="s">
        <v>27</v>
      </c>
      <c r="K14" s="32" t="s">
        <v>43</v>
      </c>
      <c r="L14" s="20" t="s">
        <v>28</v>
      </c>
      <c r="M14" s="26" t="str">
        <f>"Air flowrate ["&amp;IF(cal!$X$4=1,"m³/h",IF(cal!$X$4=2,"CFM"))&amp;"]"</f>
        <v>Air flowrate [m³/h]</v>
      </c>
      <c r="N14" s="191" t="str">
        <f>"Air exhaust temp. heating ["&amp;IF(cal!$X$4=1,"°C",IF(cal!$X$4=2,"°F"))&amp;"]"</f>
        <v>Air exhaust temp. heating [°C]</v>
      </c>
      <c r="O14" s="192" t="str">
        <f>"Air exhaust temp. cooling ["&amp;IF(cal!$X$4=1,"°C",IF(cal!$X$4=2,"°F"))&amp;"]"</f>
        <v>Air exhaust temp. cooling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Micro Canal height 6 cm width 14 cm length 60 cm (Type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89</v>
      </c>
      <c r="R15" s="113" t="s">
        <v>127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92</v>
      </c>
      <c r="R16" s="113" t="s">
        <v>128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93</v>
      </c>
      <c r="R17" s="113" t="s">
        <v>129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Micro Canal height 6 cm width 14 cm length 95 cm (Type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Micro Canal height 6 cm width 14 cm length 130 cm (Type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Micro Canal height 6 cm width 14 cm length 165 cm (Type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ht="15" customHeight="1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Micro Canal height 6 cm width 14 cm length 200 cm (Type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ht="15" customHeight="1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Micro Canal height 0 cm width 0 cm length 0 cm (Type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Micro Canal height 0 cm width 0 cm length 0 cm (Type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Micro Canal height 0 cm width 0 cm length 0 cm (Type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Micro Canal height 0 cm width 0 cm length 0 cm (Type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58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29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30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19"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  <mergeCell ref="A9:C9"/>
    <mergeCell ref="F9:I9"/>
    <mergeCell ref="L6:M6"/>
    <mergeCell ref="L7:M7"/>
    <mergeCell ref="A8:C8"/>
    <mergeCell ref="F8:I8"/>
    <mergeCell ref="L8:M8"/>
  </mergeCells>
  <dataValidations count="7">
    <dataValidation type="decimal" errorStyle="information" allowBlank="1" showErrorMessage="1" error="Eingabe außerhalb des gültigen Bereichs." prompt="20°C bis 35°C" sqref="J11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A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A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R71"/>
  <sheetViews>
    <sheetView workbookViewId="0">
      <selection activeCell="A15" sqref="A15:M15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24" t="s">
        <v>33</v>
      </c>
      <c r="B2" s="23"/>
    </row>
    <row r="3" spans="1:18" s="3" customFormat="1" x14ac:dyDescent="0.25">
      <c r="A3" s="22"/>
    </row>
    <row r="4" spans="1:18" s="3" customFormat="1" x14ac:dyDescent="0.25">
      <c r="A4" s="29" t="s">
        <v>31</v>
      </c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3" t="s">
        <v>22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134</v>
      </c>
      <c r="M6" s="383"/>
    </row>
    <row r="7" spans="1:18" ht="15.75" thickBot="1" x14ac:dyDescent="0.3">
      <c r="A7" s="13" t="s">
        <v>23</v>
      </c>
      <c r="B7" s="8"/>
      <c r="C7" s="8"/>
      <c r="D7" s="8"/>
      <c r="E7" s="8"/>
      <c r="F7" s="9" t="s">
        <v>24</v>
      </c>
      <c r="G7" s="9"/>
      <c r="H7" s="9"/>
      <c r="I7" s="8"/>
      <c r="J7" s="8"/>
      <c r="K7" s="8"/>
      <c r="L7" s="384"/>
      <c r="M7" s="385"/>
      <c r="Q7" s="1" t="s">
        <v>160</v>
      </c>
    </row>
    <row r="8" spans="1:18" ht="15.75" thickBot="1" x14ac:dyDescent="0.3">
      <c r="A8" s="378" t="str">
        <f>"Inlet temp."</f>
        <v>Inlet temp.</v>
      </c>
      <c r="B8" s="379"/>
      <c r="C8" s="379"/>
      <c r="D8" s="88">
        <f>cal!E9</f>
        <v>75</v>
      </c>
      <c r="E8" s="261" t="str">
        <f>IF(cal!$X$4=1,"°C",IF(cal!$X$4=2,"°F"))</f>
        <v>°C</v>
      </c>
      <c r="F8" s="379" t="str">
        <f>A8</f>
        <v>Inlet temp.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103</v>
      </c>
      <c r="M8" s="381"/>
      <c r="Q8" s="1" t="s">
        <v>161</v>
      </c>
    </row>
    <row r="9" spans="1:18" ht="15.75" thickTop="1" x14ac:dyDescent="0.25">
      <c r="A9" s="378" t="str">
        <f>"Return temp."</f>
        <v>Return temp.</v>
      </c>
      <c r="B9" s="379"/>
      <c r="C9" s="379"/>
      <c r="D9" s="88">
        <f>cal!E10</f>
        <v>65</v>
      </c>
      <c r="E9" s="261" t="str">
        <f>E8</f>
        <v>°C</v>
      </c>
      <c r="F9" s="379" t="str">
        <f>A9</f>
        <v>Return temp.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162</v>
      </c>
    </row>
    <row r="10" spans="1:18" x14ac:dyDescent="0.25">
      <c r="A10" s="378" t="str">
        <f>"Room temp."</f>
        <v>Room temp.</v>
      </c>
      <c r="B10" s="379"/>
      <c r="C10" s="379"/>
      <c r="D10" s="88">
        <f>cal!E11</f>
        <v>20</v>
      </c>
      <c r="E10" s="261" t="str">
        <f>E8</f>
        <v>°C</v>
      </c>
      <c r="F10" s="379" t="str">
        <f>A10</f>
        <v>Room temp.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142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27" t="s">
        <v>25</v>
      </c>
      <c r="B14" s="20" t="s">
        <v>26</v>
      </c>
      <c r="C14" s="27" t="str">
        <f>CONCATENATE("Heat output * ",ROUND(D8,0),"/",ROUND(D9,0),"/",ROUND(D10,0)," ["&amp;IF(cal!$X$4=1,"W",IF(cal!$X$4=2,"Btu/h"))&amp;"]")</f>
        <v>Heat output * 75/65/20 [W]</v>
      </c>
      <c r="D14" s="30" t="str">
        <f>"Water flowrate, heating ["&amp;IF(cal!$X$4=1,"l/h",IF(cal!$X$4=2,"GPM"))&amp;"]"</f>
        <v>Water flowrate, heating [l/h]</v>
      </c>
      <c r="E14" s="33" t="str">
        <f>"Watersided pressure loss ["&amp;IF(cal!$X$4=1,"kPa",IF(cal!$X$4=2,"inH2O"))&amp;"]"</f>
        <v>Watersided pressure loss [kPa]</v>
      </c>
      <c r="F14" s="20" t="str">
        <f>CONCATENATE("Sens. cooling capacity * ",ROUND(J8,0),"/",ROUND(J9,0),"/",ROUND(J10,0)," ["&amp;IF(cal!$X$4=1,"W",IF(cal!$X$4=2,"Btu/h"))&amp;"]")</f>
        <v>Sens. cooling capacity * 0/0/0 [W]</v>
      </c>
      <c r="G14" s="20" t="str">
        <f>CONCATENATE("Tot. cooling capacity ",ROUND(J8,0),"/",ROUND(J9,0),"/",ROUND(J10,0)," ["&amp;IF(cal!$X$4=1,"W",IF(cal!$X$4=2,"Btu/h"))&amp;"]")</f>
        <v>Tot. cooling capacity 0/0/0 [W]</v>
      </c>
      <c r="H14" s="20" t="str">
        <f>"Water flowrate, cooling ["&amp;IF(cal!$X$4=1,"l/h",IF(cal!$X$4=2,"GPM"))&amp;"]"</f>
        <v>Water flowrate, cooling [l/h]</v>
      </c>
      <c r="I14" s="21" t="str">
        <f>"Watersided pressure loss ["&amp;IF(cal!$X$4=1,"kPa",IF(cal!$X$4=2,"ftH2O"))&amp;"]"</f>
        <v>Watersided pressure loss [kPa]</v>
      </c>
      <c r="J14" s="27" t="s">
        <v>27</v>
      </c>
      <c r="K14" s="32" t="s">
        <v>43</v>
      </c>
      <c r="L14" s="20" t="s">
        <v>28</v>
      </c>
      <c r="M14" s="26" t="str">
        <f>"Air flowrate ["&amp;IF(cal!$X$4=1,"m³/h",IF(cal!$X$4=2,"CFM"))&amp;"]"</f>
        <v>Air flowrate [m³/h]</v>
      </c>
      <c r="N14" s="191" t="str">
        <f>"Air exhaust temp. heating ["&amp;IF(cal!$X$4=1,"°C",IF(cal!$X$4=2,"°F"))&amp;"]"</f>
        <v>Air exhaust temp. heating [°C]</v>
      </c>
      <c r="O14" s="192" t="str">
        <f>"Air exhaust temp. cooling ["&amp;IF(cal!$X$4=1,"°C",IF(cal!$X$4=2,"°F"))&amp;"]"</f>
        <v>Air exhaust temp. cooling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Micro Canal height 6 cm width 14 cm length 60 cm (Type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89</v>
      </c>
      <c r="R15" s="113" t="s">
        <v>127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92</v>
      </c>
      <c r="R16" s="113" t="s">
        <v>128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93</v>
      </c>
      <c r="R17" s="113" t="s">
        <v>129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Micro Canal height 6 cm width 14 cm length 95 cm (Type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Micro Canal height 6 cm width 14 cm length 130 cm (Type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Micro Canal height 6 cm width 14 cm length 165 cm (Type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ht="15" customHeight="1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Micro Canal height 6 cm width 14 cm length 200 cm (Type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ht="15" customHeight="1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Micro Canal height 0 cm width 0 cm length 0 cm (Type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Micro Canal height 0 cm width 0 cm length 0 cm (Type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Micro Canal height 0 cm width 0 cm length 0 cm (Type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Micro Canal height 0 cm width 0 cm length 0 cm (Type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58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29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30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19"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  <mergeCell ref="A9:C9"/>
    <mergeCell ref="F9:I9"/>
    <mergeCell ref="L6:M6"/>
    <mergeCell ref="L7:M7"/>
    <mergeCell ref="A8:C8"/>
    <mergeCell ref="F8:I8"/>
    <mergeCell ref="L8:M8"/>
  </mergeCells>
  <dataValidations count="7">
    <dataValidation type="whole" errorStyle="information" allowBlank="1" showErrorMessage="1" error="Eingabe außerhalb des gültigen Bereichs." prompt="20°C bis 35°C" sqref="J10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B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B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R71"/>
  <sheetViews>
    <sheetView workbookViewId="0">
      <selection activeCell="A15" sqref="A15:M15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24" t="s">
        <v>33</v>
      </c>
      <c r="B2" s="23"/>
    </row>
    <row r="3" spans="1:18" s="3" customFormat="1" x14ac:dyDescent="0.25">
      <c r="A3" s="22"/>
    </row>
    <row r="4" spans="1:18" s="3" customFormat="1" x14ac:dyDescent="0.25">
      <c r="A4" s="29" t="s">
        <v>31</v>
      </c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3" t="s">
        <v>22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134</v>
      </c>
      <c r="M6" s="383"/>
    </row>
    <row r="7" spans="1:18" ht="15.75" thickBot="1" x14ac:dyDescent="0.3">
      <c r="A7" s="13" t="s">
        <v>23</v>
      </c>
      <c r="B7" s="8"/>
      <c r="C7" s="8"/>
      <c r="D7" s="8"/>
      <c r="E7" s="8"/>
      <c r="F7" s="9" t="s">
        <v>24</v>
      </c>
      <c r="G7" s="9"/>
      <c r="H7" s="9"/>
      <c r="I7" s="8"/>
      <c r="J7" s="8"/>
      <c r="K7" s="8"/>
      <c r="L7" s="384"/>
      <c r="M7" s="385"/>
      <c r="Q7" s="1" t="s">
        <v>160</v>
      </c>
    </row>
    <row r="8" spans="1:18" ht="15.75" thickBot="1" x14ac:dyDescent="0.3">
      <c r="A8" s="378" t="str">
        <f>"Inlet temp."</f>
        <v>Inlet temp.</v>
      </c>
      <c r="B8" s="379"/>
      <c r="C8" s="379"/>
      <c r="D8" s="88">
        <f>cal!E9</f>
        <v>75</v>
      </c>
      <c r="E8" s="261" t="str">
        <f>IF(cal!$X$4=1,"°C",IF(cal!$X$4=2,"°F"))</f>
        <v>°C</v>
      </c>
      <c r="F8" s="379" t="str">
        <f>A8</f>
        <v>Inlet temp.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103</v>
      </c>
      <c r="M8" s="381"/>
      <c r="Q8" s="1" t="s">
        <v>161</v>
      </c>
    </row>
    <row r="9" spans="1:18" ht="15.75" thickTop="1" x14ac:dyDescent="0.25">
      <c r="A9" s="378" t="str">
        <f>"Return temp."</f>
        <v>Return temp.</v>
      </c>
      <c r="B9" s="379"/>
      <c r="C9" s="379"/>
      <c r="D9" s="88">
        <f>cal!E10</f>
        <v>65</v>
      </c>
      <c r="E9" s="261" t="str">
        <f>E8</f>
        <v>°C</v>
      </c>
      <c r="F9" s="379" t="str">
        <f>A9</f>
        <v>Return temp.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162</v>
      </c>
    </row>
    <row r="10" spans="1:18" x14ac:dyDescent="0.25">
      <c r="A10" s="378" t="str">
        <f>"Room temp."</f>
        <v>Room temp.</v>
      </c>
      <c r="B10" s="379"/>
      <c r="C10" s="379"/>
      <c r="D10" s="88">
        <f>cal!E11</f>
        <v>20</v>
      </c>
      <c r="E10" s="261" t="str">
        <f>E8</f>
        <v>°C</v>
      </c>
      <c r="F10" s="379" t="str">
        <f>A10</f>
        <v>Room temp.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142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27" t="s">
        <v>25</v>
      </c>
      <c r="B14" s="20" t="s">
        <v>26</v>
      </c>
      <c r="C14" s="27" t="str">
        <f>CONCATENATE("Heat output * ",ROUND(D8,0),"/",ROUND(D9,0),"/",ROUND(D10,0)," ["&amp;IF(cal!$X$4=1,"W",IF(cal!$X$4=2,"Btu/h"))&amp;"]")</f>
        <v>Heat output * 75/65/20 [W]</v>
      </c>
      <c r="D14" s="30" t="str">
        <f>"Water flowrate, heating ["&amp;IF(cal!$X$4=1,"l/h",IF(cal!$X$4=2,"GPM"))&amp;"]"</f>
        <v>Water flowrate, heating [l/h]</v>
      </c>
      <c r="E14" s="33" t="str">
        <f>"Watersided pressure loss ["&amp;IF(cal!$X$4=1,"kPa",IF(cal!$X$4=2,"inH2O"))&amp;"]"</f>
        <v>Watersided pressure loss [kPa]</v>
      </c>
      <c r="F14" s="20" t="str">
        <f>CONCATENATE("Sens. cooling capacity * ",ROUND(J8,0),"/",ROUND(J9,0),"/",ROUND(J10,0)," ["&amp;IF(cal!$X$4=1,"W",IF(cal!$X$4=2,"Btu/h"))&amp;"]")</f>
        <v>Sens. cooling capacity * 0/0/0 [W]</v>
      </c>
      <c r="G14" s="20" t="str">
        <f>CONCATENATE("Tot. cooling capacity ",ROUND(J8,0),"/",ROUND(J9,0),"/",ROUND(J10,0)," ["&amp;IF(cal!$X$4=1,"W",IF(cal!$X$4=2,"Btu/h"))&amp;"]")</f>
        <v>Tot. cooling capacity 0/0/0 [W]</v>
      </c>
      <c r="H14" s="20" t="str">
        <f>"Water flowrate, cooling ["&amp;IF(cal!$X$4=1,"l/h",IF(cal!$X$4=2,"GPM"))&amp;"]"</f>
        <v>Water flowrate, cooling [l/h]</v>
      </c>
      <c r="I14" s="21" t="str">
        <f>"Watersided pressure loss ["&amp;IF(cal!$X$4=1,"kPa",IF(cal!$X$4=2,"ftH2O"))&amp;"]"</f>
        <v>Watersided pressure loss [kPa]</v>
      </c>
      <c r="J14" s="27" t="s">
        <v>27</v>
      </c>
      <c r="K14" s="32" t="s">
        <v>43</v>
      </c>
      <c r="L14" s="20" t="s">
        <v>28</v>
      </c>
      <c r="M14" s="26" t="str">
        <f>"Air flowrate ["&amp;IF(cal!$X$4=1,"m³/h",IF(cal!$X$4=2,"CFM"))&amp;"]"</f>
        <v>Air flowrate [m³/h]</v>
      </c>
      <c r="N14" s="191" t="str">
        <f>"Air exhaust temp. heating ["&amp;IF(cal!$X$4=1,"°C",IF(cal!$X$4=2,"°F"))&amp;"]"</f>
        <v>Air exhaust temp. heating [°C]</v>
      </c>
      <c r="O14" s="192" t="str">
        <f>"Air exhaust temp. cooling ["&amp;IF(cal!$X$4=1,"°C",IF(cal!$X$4=2,"°F"))&amp;"]"</f>
        <v>Air exhaust temp. cooling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Micro Canal height 6 cm width 14 cm length 60 cm (Type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89</v>
      </c>
      <c r="R15" s="113" t="s">
        <v>127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92</v>
      </c>
      <c r="R16" s="113" t="s">
        <v>128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93</v>
      </c>
      <c r="R17" s="113" t="s">
        <v>129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Micro Canal height 6 cm width 14 cm length 95 cm (Type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Micro Canal height 6 cm width 14 cm length 130 cm (Type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Micro Canal height 6 cm width 14 cm length 165 cm (Type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ht="15" customHeight="1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Micro Canal height 6 cm width 14 cm length 200 cm (Type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ht="15" customHeight="1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Micro Canal height 0 cm width 0 cm length 0 cm (Type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Micro Canal height 0 cm width 0 cm length 0 cm (Type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Micro Canal height 0 cm width 0 cm length 0 cm (Type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Micro Canal height 0 cm width 0 cm length 0 cm (Type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58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29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30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19"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  <mergeCell ref="A9:C9"/>
    <mergeCell ref="F9:I9"/>
    <mergeCell ref="L6:M6"/>
    <mergeCell ref="L7:M7"/>
    <mergeCell ref="A8:C8"/>
    <mergeCell ref="F8:I8"/>
    <mergeCell ref="L8:M8"/>
  </mergeCells>
  <dataValidations count="7">
    <dataValidation type="decimal" errorStyle="information" allowBlank="1" showErrorMessage="1" error="Eingabe außerhalb des gültigen Bereichs." prompt="20°C bis 35°C" sqref="J11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C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C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FW80"/>
  <sheetViews>
    <sheetView topLeftCell="A47" zoomScaleNormal="100" workbookViewId="0">
      <selection activeCell="B47" sqref="B47"/>
    </sheetView>
  </sheetViews>
  <sheetFormatPr defaultColWidth="0.140625" defaultRowHeight="0" customHeight="1" zeroHeight="1" x14ac:dyDescent="0.25"/>
  <cols>
    <col min="1" max="1" width="2" style="77" customWidth="1"/>
    <col min="2" max="2" width="7" style="77" customWidth="1"/>
    <col min="3" max="3" width="6.140625" style="77" customWidth="1"/>
    <col min="4" max="4" width="7.28515625" style="77" customWidth="1"/>
    <col min="5" max="5" width="7.140625" style="77" customWidth="1"/>
    <col min="6" max="6" width="7.5703125" style="77" customWidth="1"/>
    <col min="7" max="7" width="9.42578125" style="77" customWidth="1"/>
    <col min="8" max="8" width="8.5703125" style="77" customWidth="1"/>
    <col min="9" max="9" width="7.7109375" style="77" customWidth="1"/>
    <col min="10" max="10" width="7" style="77" customWidth="1"/>
    <col min="11" max="11" width="7.85546875" style="77" customWidth="1"/>
    <col min="12" max="12" width="8.140625" style="77" customWidth="1"/>
    <col min="13" max="13" width="7.7109375" style="77" customWidth="1"/>
    <col min="14" max="16" width="7" style="77" customWidth="1"/>
    <col min="17" max="18" width="7.7109375" style="77" customWidth="1"/>
    <col min="19" max="20" width="8.42578125" style="77" customWidth="1"/>
    <col min="21" max="23" width="7.7109375" style="77" customWidth="1"/>
    <col min="24" max="30" width="5.7109375" style="77" customWidth="1"/>
    <col min="31" max="35" width="3.42578125" style="77" customWidth="1"/>
    <col min="36" max="36" width="5" style="77" customWidth="1"/>
    <col min="37" max="37" width="3.42578125" style="77" customWidth="1"/>
    <col min="38" max="38" width="5" style="77" customWidth="1"/>
    <col min="39" max="39" width="6.7109375" style="77" customWidth="1"/>
    <col min="40" max="49" width="3.42578125" style="77" customWidth="1"/>
    <col min="50" max="53" width="2.28515625" style="77" customWidth="1"/>
    <col min="54" max="89" width="3.42578125" style="77" customWidth="1"/>
    <col min="90" max="99" width="0.140625" style="77" customWidth="1"/>
    <col min="100" max="16384" width="0.140625" style="77"/>
  </cols>
  <sheetData>
    <row r="1" spans="2:104" ht="15" customHeight="1" x14ac:dyDescent="0.25">
      <c r="G1" s="50" t="s">
        <v>76</v>
      </c>
      <c r="H1" s="50" t="s">
        <v>75</v>
      </c>
      <c r="I1" s="50" t="s">
        <v>74</v>
      </c>
      <c r="J1" s="50" t="s">
        <v>73</v>
      </c>
      <c r="K1" s="50" t="s">
        <v>72</v>
      </c>
      <c r="L1" s="50" t="s">
        <v>140</v>
      </c>
      <c r="M1" s="77" t="s">
        <v>211</v>
      </c>
      <c r="N1" s="77" t="s">
        <v>212</v>
      </c>
      <c r="O1" s="77" t="s">
        <v>213</v>
      </c>
      <c r="P1" s="77" t="s">
        <v>214</v>
      </c>
      <c r="Q1" s="77" t="s">
        <v>215</v>
      </c>
      <c r="U1" s="77" t="str">
        <f>IF($S$7=1,NL!Q7,IF($S$7=2,EN!Q7,IF($S$7=3,DE!Q7,IF($S$7=4,FR!Q7,IF($S$7=5,NR!Q7,IF($S$7=6,SP!Q7,IF($S$7=7,SW!Q7,IF($S$7=8,TS!Q7,IF($S$7=9,ExtraTaal1!Q7,IF($S$7=10,ExtraTaal2!Q7,IF($S$7=11,ExtraTaal3!Q7,)))))))))))</f>
        <v>Copy all data</v>
      </c>
      <c r="Y1" s="183"/>
      <c r="Z1" s="183" t="s">
        <v>228</v>
      </c>
      <c r="AA1" s="183"/>
      <c r="AB1" s="183"/>
    </row>
    <row r="2" spans="2:104" s="50" customFormat="1" ht="15" customHeight="1" x14ac:dyDescent="0.25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U2" s="77" t="str">
        <f>IF($S$7=1,NL!Q8,IF($S$7=2,EN!Q8,IF($S$7=3,DE!Q8,IF($S$7=4,FR!Q8,IF($S$7=5,NR!Q8,IF($S$7=6,SP!Q8,IF($S$7=7,SW!Q8,IF($S$7=8,TS!Q8,IF($S$7=9,ExtraTaal1!Q8,IF($S$7=10,ExtraTaal2!Q8,IF($S$7=11,ExtraTaal3!Q8,)))))))))))</f>
        <v>SI-units</v>
      </c>
      <c r="X2" s="81"/>
      <c r="Y2" s="184" t="s">
        <v>235</v>
      </c>
      <c r="Z2" s="185" t="str">
        <f>AE16</f>
        <v>Micro H6 B14</v>
      </c>
      <c r="AA2" s="185"/>
      <c r="AB2" s="185"/>
    </row>
    <row r="3" spans="2:104" s="50" customFormat="1" ht="15" x14ac:dyDescent="0.25">
      <c r="B3" s="53" t="str">
        <f>IF($S$7=1,NL!A2,IF(cal!$S$7=2,EN!A2,IF(cal!$S$7=3,DE!A2,IF(cal!$S$7=4,FR!A2,))))</f>
        <v>Formulary</v>
      </c>
      <c r="C3" s="54"/>
      <c r="D3" s="52"/>
      <c r="E3" s="52"/>
      <c r="F3" s="52"/>
      <c r="G3" s="101"/>
      <c r="H3" s="101"/>
      <c r="I3" s="101"/>
      <c r="J3" s="101"/>
      <c r="K3" s="52"/>
      <c r="L3" s="52"/>
      <c r="M3" s="52"/>
      <c r="N3" s="52"/>
      <c r="O3" s="52"/>
      <c r="P3" s="52"/>
      <c r="Q3" s="52"/>
      <c r="U3" s="77" t="str">
        <f>IF($S$7=1,NL!Q9,IF($S$7=2,EN!Q9,IF($S$7=3,DE!Q9,IF($S$7=4,FR!Q9,IF($S$7=5,NR!Q9,IF($S$7=6,SP!Q9,IF($S$7=7,SW!Q9,IF($S$7=8,TS!Q9,IF($S$7=9,ExtraTaal1!Q9,IF($S$7=10,ExtraTaal2!Q9,IF($S$7=11,ExtraTaal3!Q9,)))))))))))</f>
        <v>Imperial-units</v>
      </c>
      <c r="X3" s="81"/>
      <c r="Y3" s="184" t="s">
        <v>229</v>
      </c>
      <c r="Z3" s="185">
        <f>AQ16</f>
        <v>0</v>
      </c>
      <c r="AA3" s="185"/>
      <c r="AB3" s="185"/>
      <c r="AC3" s="52" t="str">
        <f>IF($S$7=1,NL!Q15,IF(cal!$S$7=2,EN!Q15,IF(cal!$S$7=3,DE!Q15,IF(cal!$S$7=4,FR!Q15,IF(cal!$S$7=5,NR!Q15,IF(cal!$S$7=6,SP!Q15,))))))</f>
        <v>Temp.</v>
      </c>
    </row>
    <row r="4" spans="2:104" s="50" customFormat="1" ht="15" x14ac:dyDescent="0.25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X4" s="91">
        <v>1</v>
      </c>
      <c r="Y4" s="184" t="s">
        <v>230</v>
      </c>
      <c r="Z4" s="185">
        <f>BB16</f>
        <v>0</v>
      </c>
      <c r="AA4" s="185"/>
      <c r="AB4" s="185"/>
      <c r="AC4" s="52" t="str">
        <f>IF($S$7=1,NL!Q16,IF(cal!$S$7=2,EN!Q16,IF(cal!$S$7=3,DE!Q16,IF(cal!$S$7=4,FR!Q16,IF(cal!$S$7=5,NR!Q16,IF(cal!$S$7=6,SP!Q16,))))))</f>
        <v>heating!</v>
      </c>
    </row>
    <row r="5" spans="2:104" s="50" customFormat="1" ht="15" x14ac:dyDescent="0.25">
      <c r="B5" s="55" t="str">
        <f>IF($S$7=1,NL!A4,IF(cal!$S$7=2,EN!A4,IF(cal!$S$7=3,DE!A4,IF(cal!$S$7=4,FR!A4,))))</f>
        <v>Conditions</v>
      </c>
      <c r="C5" s="52"/>
      <c r="D5" s="52"/>
      <c r="E5" s="52"/>
      <c r="F5" s="52"/>
      <c r="G5" s="101"/>
      <c r="H5" s="101"/>
      <c r="I5" s="101"/>
      <c r="J5" s="101"/>
      <c r="K5" s="52"/>
      <c r="L5" s="52"/>
      <c r="M5" s="52"/>
      <c r="N5" s="52"/>
      <c r="O5" s="52"/>
      <c r="P5" s="52"/>
      <c r="Q5" s="52"/>
      <c r="X5" s="81"/>
      <c r="Y5" s="184" t="s">
        <v>231</v>
      </c>
      <c r="Z5" s="185">
        <f>BP16</f>
        <v>0</v>
      </c>
      <c r="AA5" s="185"/>
      <c r="AB5" s="185"/>
      <c r="AC5" s="52" t="str">
        <f>IF($S$7=1,NL!Q17,IF(cal!$S$7=2,EN!Q17,IF(cal!$S$7=3,DE!Q17,IF(cal!$S$7=4,FR!Q17,IF(cal!$S$7=5,NR!Q17,IF(cal!$S$7=6,SP!Q17,))))))</f>
        <v>cooling!</v>
      </c>
    </row>
    <row r="6" spans="2:104" s="50" customFormat="1" ht="6" customHeight="1" thickBot="1" x14ac:dyDescent="0.3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  <c r="Q6" s="52"/>
      <c r="X6" s="81"/>
      <c r="Y6" s="184" t="s">
        <v>232</v>
      </c>
      <c r="Z6" s="185">
        <f>BI16</f>
        <v>0</v>
      </c>
      <c r="AA6" s="185"/>
      <c r="AB6" s="185"/>
    </row>
    <row r="7" spans="2:104" ht="15.75" thickBot="1" x14ac:dyDescent="0.3">
      <c r="B7" s="59" t="str">
        <f>IF($S$7=1,NL!A6,IF(cal!$S$7=2,EN!A6,IF(cal!$S$7=3,DE!A6,IF(cal!$S$7=4,FR!A6,IF(cal!$S$7=5,NR!A6,IF(cal!$S$7=6,SP!A6,IF(cal!$S$7=7,SW!A6,IF(cal!$S$7=8,TS!A6,IF(cal!$S$7=9,ExtraTaal1!A6,IF(cal!$S$7=10,ExtraTaal2!A6,IF(cal!$S$7=11,ExtraTaal3!A6,)))))))))))</f>
        <v>Temperatures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359" t="str">
        <f>IF($S$7=1,NL!L6,IF(cal!$S$7=2,EN!L6,IF(cal!$S$7=3,DE!L6,IF(cal!$S$7=4,FR!L6,IF(cal!$S$7=5,NR!L6,IF(cal!$S$7=6,SP!L6,IF(cal!$S$7=7,SW!L6,IF(cal!$S$7=8,TS!L6,IF(cal!$S$7=9,ExtraTaal1!L6,IF(cal!$S$7=10,ExtraTaal2!L6,IF(cal!$S$7=11,ExtraTaal3!L6,)))))))))))</f>
        <v>Altitude</v>
      </c>
      <c r="N7" s="360">
        <f>IF($S$7=1,NL!M6,IF(cal!$S$7=2,EN!M6,IF(cal!$S$7=3,DE!M6,IF(cal!$S$7=4,FR!M6,IF(cal!$S$7=5,NR!M6,IF(cal!$S$7=6,SP!M6,IF(cal!$S$7=7,SW!M6,IF(cal!$S$7=8,TS!M6,IF(cal!$S$7=9,ExtraTaal1!M6,IF(cal!$S$7=10,ExtraTaal2!M6,IF(cal!$S$7=11,ExtraTaal3!M6,)))))))))))</f>
        <v>0</v>
      </c>
      <c r="O7" s="363"/>
      <c r="P7" s="364"/>
      <c r="Q7" s="62"/>
      <c r="S7" s="193">
        <f>IF('Micro canal'!$K$4=cal!G1,1,IF('Micro canal'!$K$4=cal!H1,2,IF('Micro canal'!$K$4=cal!I1,3,IF('Micro canal'!$K$4=cal!J1,4,IF('Micro canal'!$K$4=cal!K1,5,IF('Micro canal'!$K$4=cal!L1,6,IF('Micro canal'!$K$4=cal!M1,7,IF('Micro canal'!$K$4=cal!N1,8,IF('Micro canal'!$K$4=cal!O1,9,IF('Micro canal'!$K$4=cal!P1,10,IF('Micro canal'!$K$4=cal!Q1,11,)))))))))))</f>
        <v>2</v>
      </c>
      <c r="X7" s="81"/>
      <c r="Y7" s="184" t="s">
        <v>233</v>
      </c>
      <c r="Z7" s="185">
        <f>CE16</f>
        <v>0</v>
      </c>
      <c r="AA7" s="185"/>
      <c r="AB7" s="185"/>
    </row>
    <row r="8" spans="2:104" ht="15.75" thickBot="1" x14ac:dyDescent="0.3">
      <c r="B8" s="59" t="str">
        <f>IF($S$7=1,NL!A7,IF(cal!$S$7=2,EN!A7,IF(cal!$S$7=3,DE!A7,IF(cal!$S$7=4,FR!A7,IF(cal!$S$7=5,NR!A7,IF(cal!$S$7=6,SP!A7,IF(cal!$S$7=7,SW!A7,IF(cal!$S$7=8,TS!A7,IF(cal!$S$7=9,ExtraTaal1!A7,IF(cal!$S$7=10,ExtraTaal2!A7,IF(cal!$S$7=11,ExtraTaal3!A7,)))))))))))</f>
        <v>Heating:</v>
      </c>
      <c r="C8" s="60"/>
      <c r="D8" s="60"/>
      <c r="E8" s="60"/>
      <c r="F8" s="60"/>
      <c r="G8" s="63" t="str">
        <f>IF($S$7=1,NL!F7,IF(cal!$S$7=2,EN!F7,IF(cal!$S$7=3,DE!F7,IF(cal!$S$7=4,FR!F7,IF(cal!$S$7=5,NR!F7,IF(cal!$S$7=6,SP!F7,IF(cal!$S$7=7,SW!F7,IF(cal!$S$7=8,TS!F7,IF(cal!$S$7=9,ExtraTaal1!F7,IF(cal!$S$7=10,ExtraTaal2!F7,IF(cal!$S$7=11,ExtraTaal3!F7,)))))))))))</f>
        <v>Cooling:</v>
      </c>
      <c r="H8" s="63"/>
      <c r="I8" s="63"/>
      <c r="J8" s="60"/>
      <c r="K8" s="60"/>
      <c r="L8" s="60"/>
      <c r="M8" s="361">
        <f>'Micro canal'!M9:N9</f>
        <v>0</v>
      </c>
      <c r="N8" s="362">
        <v>0</v>
      </c>
      <c r="O8" s="365" t="str">
        <f>IF($X$4=1,"m",IF($X$4=2,"ft"))</f>
        <v>m</v>
      </c>
      <c r="P8" s="366"/>
      <c r="Q8" s="62"/>
      <c r="S8" s="79" t="s">
        <v>51</v>
      </c>
      <c r="X8" s="79" t="s">
        <v>51</v>
      </c>
      <c r="Y8" s="184" t="s">
        <v>234</v>
      </c>
      <c r="Z8" s="183">
        <f>BX16</f>
        <v>0</v>
      </c>
      <c r="AA8" s="183"/>
      <c r="AB8" s="183"/>
    </row>
    <row r="9" spans="2:104" ht="15.75" thickBot="1" x14ac:dyDescent="0.3">
      <c r="B9" s="373" t="str">
        <f>IF($S$7=1,NL!A8,IF(cal!$S$7=2,EN!A8,IF(cal!$S$7=3,DE!A8,IF(cal!$S$7=4,FR!A8,IF(cal!$S$7=5,NR!A8,IF(cal!$S$7=6,SP!A8,IF(cal!$S$7=7,SW!A8,IF(cal!$S$7=8,TS!A8,IF(cal!$S$7=9,ExtraTaal1!A8,IF(cal!$S$7=10,ExtraTaal2!A8,IF(cal!$S$7=11,ExtraTaal3!A8,)))))))))))</f>
        <v>Inlet temp.</v>
      </c>
      <c r="C9" s="374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0</v>
      </c>
      <c r="D9" s="374">
        <f>IF($S$7=1,NL!C8,IF(cal!$S$7=2,EN!C8,IF(cal!$S$7=3,DE!C8,IF(cal!$S$7=4,FR!C8,IF(cal!$S$7=5,NR!C8,IF(cal!$S$7=6,SP!C8,IF(cal!$S$7=7,SW!C8,IF(cal!$S$7=8,TS!C8,IF(cal!$S$7=9,ExtraTaal1!C8,IF(cal!$S$7=10,ExtraTaal2!C8,IF(cal!$S$7=11,ExtraTaal3!C8,)))))))))))</f>
        <v>0</v>
      </c>
      <c r="E9" s="88">
        <f>'Micro canal'!E10</f>
        <v>75</v>
      </c>
      <c r="F9" s="64"/>
      <c r="G9" s="374" t="str">
        <f>B9</f>
        <v>Inlet temp.</v>
      </c>
      <c r="H9" s="374">
        <f>IF($S$7=1,NL!G8,IF(cal!$S$7=2,EN!G8,IF(cal!$S$7=3,DE!G8,IF(cal!$S$7=4,FR!G8,))))</f>
        <v>0</v>
      </c>
      <c r="I9" s="374">
        <f>IF($S$7=1,NL!H8,IF(cal!$S$7=2,EN!H8,IF(cal!$S$7=3,DE!H8,IF(cal!$S$7=4,FR!H8,))))</f>
        <v>0</v>
      </c>
      <c r="J9" s="374">
        <f>IF($S$7=1,NL!I8,IF(cal!$S$7=2,EN!I8,IF(cal!$S$7=3,DE!I8,IF(cal!$S$7=4,FR!I8,))))</f>
        <v>0</v>
      </c>
      <c r="K9" s="88">
        <f>'Micro canal'!I11</f>
        <v>0</v>
      </c>
      <c r="L9" s="60"/>
      <c r="M9" s="359" t="str">
        <f>IF($S$7=1,NL!L8,IF(cal!$S$7=2,EN!L8,IF(cal!$S$7=3,DE!L8,IF(cal!$S$7=4,FR!L8,IF(cal!$S$7=5,NR!L8,IF(cal!$S$7=6,SP!L8,IF(cal!$S$7=7,SW!L8,IF(cal!$S$7=8,TS!L8,IF(cal!$S$7=9,ExtraTaal1!L8,IF(cal!$S$7=10,ExtraTaal2!L8,IF(cal!$S$7=11,ExtraTaal3!L8,)))))))))))</f>
        <v>Unit conversion</v>
      </c>
      <c r="N9" s="360">
        <f>IF($S$7=1,NL!M8,IF(cal!$S$7=2,EN!M8,IF(cal!$S$7=3,DE!M8,IF(cal!$S$7=4,FR!M8,IF(cal!$S$7=5,NR!M8,IF(cal!$S$7=6,SP!M8,IF(cal!$S$7=7,SW!M8,IF(cal!$S$7=8,TS!M8,IF(cal!$S$7=9,ExtraTaal1!M8,IF(cal!$S$7=10,ExtraTaal2!M8,IF(cal!$S$7=11,ExtraTaal3!M8,)))))))))))</f>
        <v>0</v>
      </c>
      <c r="O9" s="245"/>
      <c r="P9" s="61"/>
      <c r="Q9" s="62"/>
      <c r="S9" s="194">
        <f>IF($X$4=1,E9,IF($X$4=2,(E9-32)/1.8))</f>
        <v>75</v>
      </c>
      <c r="X9" s="98">
        <f>IF($X$4=1,K9,IF($X$4=2,(K9-32)/1.8))</f>
        <v>0</v>
      </c>
      <c r="Y9" s="81"/>
    </row>
    <row r="10" spans="2:104" ht="15" x14ac:dyDescent="0.25">
      <c r="B10" s="373" t="str">
        <f>IF($S$7=1,NL!A9,IF(cal!$S$7=2,EN!A9,IF(cal!$S$7=3,DE!A9,IF(cal!$S$7=4,FR!A9,IF(cal!$S$7=5,NR!A9,IF(cal!$S$7=6,SP!A9,IF(cal!$S$7=7,SW!A9,IF(cal!$S$7=8,TS!A9,IF(cal!$S$7=9,ExtraTaal1!A9,IF(cal!$S$7=10,ExtraTaal2!A9,IF(cal!$S$7=11,ExtraTaal3!A9,)))))))))))</f>
        <v>Return temp.</v>
      </c>
      <c r="C10" s="374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0</v>
      </c>
      <c r="D10" s="374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E10" s="87">
        <f>'Micro canal'!E11</f>
        <v>65</v>
      </c>
      <c r="F10" s="64"/>
      <c r="G10" s="374" t="str">
        <f>B10</f>
        <v>Return temp.</v>
      </c>
      <c r="H10" s="374">
        <f>IF($S$7=1,NL!G9,IF(cal!$S$7=2,EN!G9,IF(cal!$S$7=3,DE!G9,IF(cal!$S$7=4,FR!G9,))))</f>
        <v>0</v>
      </c>
      <c r="I10" s="374">
        <f>IF($S$7=1,NL!H9,IF(cal!$S$7=2,EN!H9,IF(cal!$S$7=3,DE!H9,IF(cal!$S$7=4,FR!H9,))))</f>
        <v>0</v>
      </c>
      <c r="J10" s="374">
        <f>IF($S$7=1,NL!I9,IF(cal!$S$7=2,EN!I9,IF(cal!$S$7=3,DE!I9,IF(cal!$S$7=4,FR!I9,))))</f>
        <v>0</v>
      </c>
      <c r="K10" s="88">
        <f>'Micro canal'!K11</f>
        <v>0</v>
      </c>
      <c r="L10" s="60"/>
      <c r="M10" s="60"/>
      <c r="N10" s="60"/>
      <c r="O10" s="60"/>
      <c r="P10" s="61"/>
      <c r="Q10" s="62"/>
      <c r="S10" s="98">
        <f>IF($X$4=1,E10,IF($X$4=2,(E10-32)/1.8))</f>
        <v>65</v>
      </c>
      <c r="T10" s="154" t="s">
        <v>68</v>
      </c>
      <c r="W10" s="153" t="s">
        <v>69</v>
      </c>
      <c r="X10" s="98">
        <f>IF($X$4=1,K10,IF($X$4=2,(K10-32)/1.8))</f>
        <v>0</v>
      </c>
      <c r="Z10" s="128" t="s">
        <v>67</v>
      </c>
      <c r="AA10" s="79" t="s">
        <v>70</v>
      </c>
      <c r="AB10" s="79" t="s">
        <v>71</v>
      </c>
    </row>
    <row r="11" spans="2:104" ht="15" x14ac:dyDescent="0.25">
      <c r="B11" s="373" t="str">
        <f>IF($S$7=1,NL!A10,IF(cal!$S$7=2,EN!A10,IF(cal!$S$7=3,DE!A10,IF(cal!$S$7=4,FR!A10,IF(cal!$S$7=5,NR!A10,IF(cal!$S$7=6,SP!A10,IF(cal!$S$7=7,SW!A10,IF(cal!$S$7=8,TS!A10,IF(cal!$S$7=9,ExtraTaal1!A10,IF(cal!$S$7=10,ExtraTaal2!A10,IF(cal!$S$7=11,ExtraTaal3!A10,)))))))))))</f>
        <v>Room temp.</v>
      </c>
      <c r="C11" s="374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0</v>
      </c>
      <c r="D11" s="374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E11" s="87">
        <f>'Micro canal'!E12</f>
        <v>20</v>
      </c>
      <c r="F11" s="64"/>
      <c r="G11" s="374" t="str">
        <f>B11</f>
        <v>Room temp.</v>
      </c>
      <c r="H11" s="374">
        <f>IF($S$7=1,NL!G10,IF(cal!$S$7=2,EN!G10,IF(cal!$S$7=3,DE!G10,IF(cal!$S$7=4,FR!G10,))))</f>
        <v>0</v>
      </c>
      <c r="I11" s="374"/>
      <c r="J11" s="374"/>
      <c r="K11" s="88">
        <f>'Micro canal'!K12</f>
        <v>0</v>
      </c>
      <c r="L11" s="60"/>
      <c r="M11" s="60"/>
      <c r="N11" s="60"/>
      <c r="O11" s="60"/>
      <c r="P11" s="61"/>
      <c r="Q11" s="62"/>
      <c r="S11" s="98">
        <f>IF($X$4=1,E11,IF($X$4=2,(E11-32)/1.8))</f>
        <v>20</v>
      </c>
      <c r="T11" s="196">
        <f>(($S$9-$S$10)/LN(($S$9-$S$11)/($S$10-$S$11)))/((75-65)/LN((75-20)/(65-20)))</f>
        <v>1</v>
      </c>
      <c r="W11" s="195" t="e">
        <f>(($X$9-$X$10)/LN(($X$9-$X$11)/($X$10-$X$11)))/((16-18)/LN((16-27)/(18-27)))</f>
        <v>#DIV/0!</v>
      </c>
      <c r="X11" s="98">
        <f>IF($X$4=1,K11,IF($X$4=2,(K11-32)/1.8))</f>
        <v>0</v>
      </c>
      <c r="Z11" s="131">
        <f>IF($X$4=1,(101325*(1-((0.0065*M8)/(288.15)))^((9.81*0.028964)/(8.31447*0.0065))),IF($X$4=2,(101325*(1-((0.0065*(M8*0.3048))/(288.15)))^((9.81*0.028964)/(8.31447*0.0065)))))</f>
        <v>101325</v>
      </c>
      <c r="AA11" s="159">
        <f>IF($X$4=1,M8/1000,IF($X$4=2,M8*0.0003048))</f>
        <v>0</v>
      </c>
      <c r="AB11" s="159">
        <f>-(0.000265264729874266*AA11^6)+(0.000957582908802335*AA11^5)+(0.00470250661483425*AA11^4)-(0.0298716926548353*AA11^3)+(0.0557086806557086*AA11^2)-(0.0484008125693582*AA11)+1</f>
        <v>1</v>
      </c>
    </row>
    <row r="12" spans="2:104" ht="15" x14ac:dyDescent="0.25">
      <c r="B12" s="65" t="str">
        <f>G12</f>
        <v>Relative humidity</v>
      </c>
      <c r="C12" s="60"/>
      <c r="D12" s="60"/>
      <c r="E12" s="246">
        <v>0.5</v>
      </c>
      <c r="F12" s="60"/>
      <c r="G12" s="60" t="str">
        <f>IF($S$7=1,NL!F11,IF(cal!$S$7=2,EN!F11,IF(cal!$S$7=3,DE!F11,IF(cal!$S$7=4,FR!F11,IF(cal!$S$7=5,NR!F11,IF(cal!$S$7=6,SP!F11,IF(cal!$S$7=7,SW!F11,IF(cal!$S$7=8,TS!F11,IF(cal!$S$7=9,ExtraTaal1!F11,IF(cal!$S$7=10,ExtraTaal2!F11,IF(cal!$S$7=11,ExtraTaal3!F11,)))))))))))</f>
        <v>Relative humidity</v>
      </c>
      <c r="H12" s="60"/>
      <c r="I12" s="60"/>
      <c r="J12" s="60"/>
      <c r="K12" s="45">
        <f>'Micro canal'!K13</f>
        <v>0</v>
      </c>
      <c r="L12" s="60"/>
      <c r="M12" s="60"/>
      <c r="N12" s="60"/>
      <c r="O12" s="60"/>
      <c r="P12" s="61"/>
      <c r="Q12" s="264"/>
    </row>
    <row r="13" spans="2:104" ht="6" customHeight="1" x14ac:dyDescent="0.25">
      <c r="B13" s="67"/>
      <c r="C13" s="68"/>
      <c r="D13" s="68"/>
      <c r="E13" s="68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102"/>
      <c r="Q13" s="62"/>
    </row>
    <row r="14" spans="2:104" ht="15" x14ac:dyDescent="0.25">
      <c r="B14" s="89"/>
      <c r="C14" s="89"/>
      <c r="D14" s="103"/>
      <c r="E14" s="103">
        <f>IF($X$4=1,1,IF($X$4=2,0.004403))</f>
        <v>1</v>
      </c>
      <c r="F14" s="103">
        <f>IF($X$4=1,1,IF($X$4=2,4.0147))</f>
        <v>1</v>
      </c>
      <c r="G14" s="103">
        <f>IF($X$4=1,0.000334444444444444,IF($X$4=2,0.000568224721372))</f>
        <v>3.3444444444444401E-4</v>
      </c>
      <c r="H14" s="103">
        <f>IF($X$4=1,1,IF($X$4=2,3.4121416331))</f>
        <v>1</v>
      </c>
      <c r="I14" s="103">
        <f>IF($X$4=1,1,IF($X$4=2,0.004403))</f>
        <v>1</v>
      </c>
      <c r="J14" s="103">
        <f>IF($X$4=1,1,IF($X$4=2,4.0147))</f>
        <v>1</v>
      </c>
      <c r="K14" s="104"/>
      <c r="L14" s="104"/>
      <c r="M14" s="104"/>
      <c r="N14" s="103">
        <f>IF($X$4=1,1,IF($X$4=2,0.588575))</f>
        <v>1</v>
      </c>
      <c r="O14" s="197">
        <f>IF($X$4=1,1,1.8)</f>
        <v>1</v>
      </c>
      <c r="P14" s="197">
        <f>IF($X$4=1,0,32)</f>
        <v>0</v>
      </c>
      <c r="Q14" s="129"/>
      <c r="R14" s="130"/>
      <c r="S14" s="77" t="s">
        <v>66</v>
      </c>
      <c r="T14" s="77" t="s">
        <v>100</v>
      </c>
      <c r="U14" s="77" t="s">
        <v>101</v>
      </c>
      <c r="V14" s="77">
        <v>19</v>
      </c>
      <c r="X14" s="50"/>
      <c r="Y14" s="50"/>
      <c r="Z14" s="50"/>
      <c r="AA14" s="50"/>
    </row>
    <row r="15" spans="2:104" s="78" customFormat="1" ht="103.7" customHeight="1" x14ac:dyDescent="0.25">
      <c r="B15" s="200" t="str">
        <f>IF($S$7=1,NL!A14,IF(cal!$S$7=2,EN!A14,IF(cal!$S$7=3,DE!A14,IF(cal!$S$7=4,FR!A14,IF(cal!$S$7=5,NR!A14,IF(cal!$S$7=6,SP!A14,IF(cal!$S$7=7,SW!A14,IF(cal!$S$7=8,TS!A14,IF(cal!$S$7=9,ExtraTaal1!A14,IF(cal!$S$7=10,ExtraTaal2!A14,IF(cal!$S$7=11,ExtraTaal3!A14,)))))))))))</f>
        <v>Speed level:</v>
      </c>
      <c r="C15" s="201" t="str">
        <f>IF($S$7=1,NL!B14,IF(cal!$S$7=2,EN!B14,IF(cal!$S$7=3,DE!B14,IF(cal!$S$7=4,FR!B14,IF(cal!$S$7=5,NR!B14,IF(cal!$S$7=6,SP!B14,IF(cal!$S$7=7,SW!B14,IF(cal!$S$7=8,TS!B14,IF(cal!$S$7=9,ExtraTaal1!B14,IF(cal!$S$7=10,ExtraTaal2!B14,IF(cal!$S$7=11,ExtraTaal3!B14,)))))))))))</f>
        <v>Control voltage [V]</v>
      </c>
      <c r="D15" s="202" t="str">
        <f>IF($S$7=1,NL!C14,IF(cal!$S$7=2,EN!C14,IF(cal!$S$7=3,DE!C14,IF(cal!$S$7=4,FR!C14,IF(cal!$S$7=5,NR!C14,IF(cal!$S$7=6,SP!C14,IF(cal!$S$7=7,SW!C14,IF(cal!$S$7=8,TS!C14,IF(cal!$S$7=9,ExtraTaal1!C14,IF(cal!$S$7=10,ExtraTaal2!C14,IF(cal!$S$7=11,ExtraTaal3!C14,)))))))))))</f>
        <v>Heat output * 75/65/20 [W]</v>
      </c>
      <c r="E15" s="203" t="str">
        <f>IF($S$7=1,NL!D14,IF(cal!$S$7=2,EN!D14,IF(cal!$S$7=3,DE!D14,IF(cal!$S$7=4,FR!D14,IF(cal!$S$7=5,NR!D14,IF(cal!$S$7=6,SP!D14,IF(cal!$S$7=7,SW!D14,IF(cal!$S$7=8,TS!D14,IF(cal!$S$7=9,ExtraTaal1!D14,IF(cal!$S$7=10,ExtraTaal2!D14,IF(cal!$S$7=11,ExtraTaal3!D14,)))))))))))</f>
        <v>Water flowrate, heating [l/h]</v>
      </c>
      <c r="F15" s="204" t="str">
        <f>IF($S$7=1,NL!E14,IF(cal!$S$7=2,EN!E14,IF(cal!$S$7=3,DE!E14,IF(cal!$S$7=4,FR!E14,IF(cal!$S$7=5,NR!E14,IF(cal!$S$7=6,SP!E14,IF(cal!$S$7=7,SW!E14,IF(cal!$S$7=8,TS!E14,IF(cal!$S$7=9,ExtraTaal1!E14,IF(cal!$S$7=10,ExtraTaal2!E14,IF(cal!$S$7=11,ExtraTaal3!E14,)))))))))))</f>
        <v>Watersided pressure loss [kPa]</v>
      </c>
      <c r="G15" s="205"/>
      <c r="H15" s="206"/>
      <c r="I15" s="203"/>
      <c r="J15" s="204"/>
      <c r="K15" s="207" t="str">
        <f>IF($S$7=1,NL!J14,IF(cal!$S$7=2,EN!J14,IF(cal!$S$7=3,DE!J14,IF(cal!$S$7=4,FR!J14,IF(cal!$S$7=5,NR!J14,IF(cal!$S$7=6,SP!J14,IF(cal!$S$7=7,SW!J14,IF(cal!$S$7=8,TS!J14,IF(cal!$S$7=9,ExtraTaal1!J14,IF(cal!$S$7=10,ExtraTaal2!J14,IF(cal!$S$7=11,ExtraTaal3!J14,)))))))))))</f>
        <v>Sound pressure *** [dB(A)]</v>
      </c>
      <c r="L15" s="208" t="str">
        <f>IF($S$7=1,NL!K14,IF(cal!$S$7=2,EN!K14,IF(cal!$S$7=3,DE!K14,IF(cal!$S$7=4,FR!K14,IF(cal!$S$7=5,NR!K14,IF(cal!$S$7=6,SP!K14,IF(cal!$S$7=7,SW!K14,IF(cal!$S$7=8,TS!K14,IF(cal!$S$7=9,ExtraTaal1!K14,IF(cal!$S$7=10,ExtraTaal2!K14,IF(cal!$S$7=11,ExtraTaal3!K14,)))))))))))</f>
        <v>Sound power ** [dB(A)]</v>
      </c>
      <c r="M15" s="235" t="str">
        <f>IF($S$7=1,NL!L14,IF(cal!$S$7=2,EN!L14,IF(cal!$S$7=3,DE!L14,IF(cal!$S$7=4,FR!L14,IF(cal!$S$7=5,NR!L14,IF(cal!$S$7=6,SP!L14,IF(cal!$S$7=7,SW!L14,IF(cal!$S$7=8,TS!L14,IF(cal!$S$7=9,ExtraTaal1!L14,IF(cal!$S$7=10,ExtraTaal2!L14,IF(cal!$S$7=11,ExtraTaal3!L14,)))))))))))</f>
        <v>Electrical power [W]</v>
      </c>
      <c r="N15" s="236" t="str">
        <f>IF($S$7=1,NL!M14,IF(cal!$S$7=2,EN!M14,IF(cal!$S$7=3,DE!M14,IF(cal!$S$7=4,FR!M14,IF(cal!$S$7=5,NR!M14,IF(cal!$S$7=6,SP!M14,IF(cal!$S$7=7,SW!M14,IF(cal!$S$7=8,TS!M14,IF(cal!$S$7=9,ExtraTaal1!M14,IF(cal!$S$7=10,ExtraTaal2!M14,IF(cal!$S$7=11,ExtraTaal3!M14,)))))))))))</f>
        <v>Air flowrate [m³/h]</v>
      </c>
      <c r="O15" s="209" t="str">
        <f>IF($S$7=1,NL!N14,IF(cal!$S$7=2,EN!N14,IF(cal!$S$7=3,DE!N14,IF(cal!$S$7=4,FR!N14,IF(cal!$S$7=5,NR!N14,IF(cal!$S$7=6,SP!N14,IF(cal!$S$7=7,SW!N14,IF(cal!$S$7=8,TS!N14,IF(cal!$S$7=9,ExtraTaal1!N14,IF(cal!$S$7=10,ExtraTaal2!N14,IF(cal!$S$7=11,ExtraTaal3!N14,)))))))))))</f>
        <v>Air exhaust temp. heating [°C]</v>
      </c>
      <c r="P15" s="244" t="str">
        <f>IF($S$7=1,NL!O14,IF(cal!$S$7=2,EN!O14,IF(cal!$S$7=3,DE!O14,IF(cal!$S$7=4,FR!O14,IF(cal!$S$7=5,NR!O14,IF(cal!$S$7=6,SP!O14,IF(cal!$S$7=7,SW!O14,IF(cal!$S$7=8,TS!O14,IF(cal!$S$7=9,ExtraTaal1!O14,IF(cal!$S$7=10,ExtraTaal2!O14,IF(cal!$S$7=11,ExtraTaal3!O14,)))))))))))</f>
        <v>Air exhaust temp. cooling [°C]</v>
      </c>
      <c r="Q15" s="105" t="s">
        <v>64</v>
      </c>
      <c r="R15" s="105" t="s">
        <v>65</v>
      </c>
      <c r="S15" s="105" t="s">
        <v>65</v>
      </c>
      <c r="T15" s="105" t="s">
        <v>65</v>
      </c>
      <c r="U15" s="105" t="s">
        <v>65</v>
      </c>
      <c r="V15" s="105" t="s">
        <v>65</v>
      </c>
      <c r="X15" s="82" t="s">
        <v>47</v>
      </c>
      <c r="Y15" s="83" t="s">
        <v>48</v>
      </c>
      <c r="Z15" s="83" t="s">
        <v>52</v>
      </c>
      <c r="AA15" s="83" t="s">
        <v>53</v>
      </c>
      <c r="AB15" s="83" t="s">
        <v>54</v>
      </c>
      <c r="AC15" s="83" t="s">
        <v>55</v>
      </c>
      <c r="AD15" s="84" t="s">
        <v>56</v>
      </c>
      <c r="AE15" s="82" t="s">
        <v>47</v>
      </c>
      <c r="AF15" s="83" t="s">
        <v>48</v>
      </c>
      <c r="AG15" s="83" t="s">
        <v>52</v>
      </c>
      <c r="AH15" s="83" t="s">
        <v>53</v>
      </c>
      <c r="AI15" s="83" t="s">
        <v>54</v>
      </c>
      <c r="AJ15" s="83" t="s">
        <v>55</v>
      </c>
      <c r="AK15" s="277" t="s">
        <v>56</v>
      </c>
      <c r="AL15" s="279" t="s">
        <v>240</v>
      </c>
      <c r="AM15" s="263" t="s">
        <v>236</v>
      </c>
      <c r="AN15" s="263" t="s">
        <v>237</v>
      </c>
      <c r="AO15" s="263" t="s">
        <v>238</v>
      </c>
      <c r="AP15" s="280" t="s">
        <v>239</v>
      </c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</row>
    <row r="16" spans="2:104" ht="18" customHeight="1" x14ac:dyDescent="0.25">
      <c r="B16" s="356" t="str">
        <f>IF($S$7=1,NL!A15,IF(cal!$S$7=2,EN!A15,IF(cal!$S$7=3,DE!A15,IF(cal!$S$7=4,FR!A15,IF(cal!$S$7=5,NR!A15,IF(cal!$S$7=6,SP!A15,IF(cal!$S$7=7,SW!A15,IF(cal!$S$7=8,TS!A15,IF(cal!$S$7=9,ExtraTaal1!A15,IF(cal!$S$7=10,ExtraTaal2!A15,IF(cal!$S$7=11,ExtraTaal3!A15,)))))))))))</f>
        <v>Micro Canal height 6 cm width 14 cm length 60 cm (Type 1)</v>
      </c>
      <c r="C16" s="357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0</v>
      </c>
      <c r="D16" s="357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0</v>
      </c>
      <c r="E16" s="357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0</v>
      </c>
      <c r="F16" s="357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0</v>
      </c>
      <c r="G16" s="357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0</v>
      </c>
      <c r="H16" s="357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0</v>
      </c>
      <c r="I16" s="357">
        <f>IF($S$7=1,NL!H15,IF(cal!$S$7=2,EN!H15,IF(cal!$S$7=3,DE!H15,IF(cal!$S$7=4,FR!H15,IF(cal!$S$7=5,NR!H15,IF(cal!$S$7=6,SP!H15,IF(cal!$S$7=7,SW!H15,IF(cal!$S$7=8,TS!H15,IF(cal!$S$7=9,ExtraTaal1!H15,IF(cal!$S$7=10,ExtraTaal2!H15,IF(cal!$S$7=11,ExtraTaal3!H15,)))))))))))</f>
        <v>0</v>
      </c>
      <c r="J16" s="357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0</v>
      </c>
      <c r="K16" s="357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0</v>
      </c>
      <c r="L16" s="357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0</v>
      </c>
      <c r="M16" s="357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0</v>
      </c>
      <c r="N16" s="357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0</v>
      </c>
      <c r="O16" s="357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0</v>
      </c>
      <c r="P16" s="358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0</v>
      </c>
      <c r="Q16" s="198" t="s">
        <v>11</v>
      </c>
      <c r="R16" s="79" t="s">
        <v>11</v>
      </c>
      <c r="S16" s="79" t="s">
        <v>11</v>
      </c>
      <c r="T16" s="79" t="s">
        <v>11</v>
      </c>
      <c r="U16" s="79" t="s">
        <v>11</v>
      </c>
      <c r="V16" s="79" t="s">
        <v>11</v>
      </c>
      <c r="X16" s="369">
        <v>1</v>
      </c>
      <c r="Y16" s="370"/>
      <c r="Z16" s="371"/>
      <c r="AA16" s="370"/>
      <c r="AB16" s="371"/>
      <c r="AC16" s="371"/>
      <c r="AD16" s="372"/>
      <c r="AE16" s="367" t="str">
        <f>CONCATENATE("Micro H",ROUND(AF22,1)," B",AH22)</f>
        <v>Micro H6 B14</v>
      </c>
      <c r="AF16" s="368"/>
      <c r="AG16" s="368"/>
      <c r="AH16" s="368"/>
      <c r="AI16" s="368"/>
      <c r="AJ16" s="368"/>
      <c r="AK16" s="368"/>
      <c r="AL16" s="281"/>
      <c r="AM16" s="266"/>
      <c r="AN16" s="266"/>
      <c r="AO16" s="266"/>
      <c r="AP16" s="267"/>
    </row>
    <row r="17" spans="2:42" ht="15" x14ac:dyDescent="0.25">
      <c r="B17" s="70">
        <v>0.2</v>
      </c>
      <c r="C17" s="71">
        <v>2</v>
      </c>
      <c r="D17" s="72">
        <f>(X17*($T$11^$Q17))*Watts*CF_Altit</f>
        <v>59.699999999999996</v>
      </c>
      <c r="E17" s="86">
        <f>ROUND(((D17/Watts)/(($S$9-$S$10)*1.163))*$E$14,IF($X$4=1,0,IF($X$4=2,2)))</f>
        <v>5</v>
      </c>
      <c r="F17" s="74">
        <f>(IF($X$4=1,AM17,IF($X$4=2,AM17*0.334552563)))</f>
        <v>1.1425873686146527E-3</v>
      </c>
      <c r="G17" s="73"/>
      <c r="H17" s="73"/>
      <c r="I17" s="86"/>
      <c r="J17" s="106"/>
      <c r="K17" s="85">
        <f>L17-8</f>
        <v>13.8</v>
      </c>
      <c r="L17" s="80">
        <f t="shared" ref="L17:M21" si="0">AB17</f>
        <v>21.8</v>
      </c>
      <c r="M17" s="75">
        <f>AC17</f>
        <v>0.51</v>
      </c>
      <c r="N17" s="90">
        <f>AD17*Cubics</f>
        <v>11</v>
      </c>
      <c r="O17" s="242">
        <f>((($D17/Watts)/(((p_atm*0.028964)/(8.31447*(20+273.15)))*(($N17/3600)/Cubics)*(1005+1870*((0.622)/(((p_atm)/($E$12*Pvs_Heat_in))-1)))))+Tl_heat)*Celc1+Celc2</f>
        <v>35.930794450762484</v>
      </c>
      <c r="P17" s="241">
        <f>(Tl_cool-(($G17/Watts)/(1006*$N17*kgss)))*Celc1+Celc2</f>
        <v>0</v>
      </c>
      <c r="Q17" s="210">
        <v>1</v>
      </c>
      <c r="R17" s="127">
        <f>IF($X$16=1,S17,IF($X$16=2,S17,IF($X$16=3,U17,IF($X$16=4,U17,IF($X$16=5,V17,IF($X$16=6,V17,IF($X$16=7,T17,)))))))</f>
        <v>0.6</v>
      </c>
      <c r="S17" s="127">
        <v>0.6</v>
      </c>
      <c r="T17" s="127">
        <v>1.1599999999999999</v>
      </c>
      <c r="U17" s="127">
        <v>0.78069999999999995</v>
      </c>
      <c r="V17" s="152">
        <v>0.87660000000000005</v>
      </c>
      <c r="W17" s="182" t="e">
        <f>(H17-G17)/H17</f>
        <v>#DIV/0!</v>
      </c>
      <c r="X17" s="132">
        <f>IF($X$16=1,AE17,IF($X$16=2,AQ17,IF($X$16=3,BP17,IF($X$16=4,BI17,IF($X$16=5,CE17,IF($X$16=6,BX17,IF($X$16=7,BB17,)))))))</f>
        <v>59.699999999999996</v>
      </c>
      <c r="Y17" s="133" t="str">
        <f t="shared" ref="Y17:AD17" si="1">IF($X$16=1,AF17,IF($X$16=2,AR17,IF($X$16=3,BQ17,IF($X$16=4,BJ17,IF($X$16=5,CF17,IF($X$16=6,BY17,IF($X$16=7,BC17,)))))))</f>
        <v>a</v>
      </c>
      <c r="Z17" s="134">
        <f t="shared" si="1"/>
        <v>30</v>
      </c>
      <c r="AA17" s="133" t="str">
        <f t="shared" si="1"/>
        <v>a</v>
      </c>
      <c r="AB17" s="134">
        <f t="shared" si="1"/>
        <v>21.8</v>
      </c>
      <c r="AC17" s="134">
        <f t="shared" si="1"/>
        <v>0.51</v>
      </c>
      <c r="AD17" s="134">
        <f t="shared" si="1"/>
        <v>11</v>
      </c>
      <c r="AE17" s="132">
        <f>AE29*($AK$22/$AK$34)</f>
        <v>59.699999999999996</v>
      </c>
      <c r="AF17" s="133" t="s">
        <v>49</v>
      </c>
      <c r="AG17" s="134">
        <v>30</v>
      </c>
      <c r="AH17" s="133" t="s">
        <v>49</v>
      </c>
      <c r="AI17" s="135">
        <v>21.8</v>
      </c>
      <c r="AJ17" s="135">
        <v>0.51</v>
      </c>
      <c r="AK17" s="134">
        <v>11</v>
      </c>
      <c r="AL17" s="265">
        <f>((D17/Watts)/(($S$9-$S$10)*1.163))</f>
        <v>5.1332760103181423</v>
      </c>
      <c r="AM17" s="134">
        <f>((AN17*(AL17^AP17)*(($AL$22-19.5)/100)*2)+AO17*(AL17^2))*0.0098</f>
        <v>1.1425873686146527E-3</v>
      </c>
      <c r="AN17" s="134">
        <v>6.5250871001174002E-3</v>
      </c>
      <c r="AO17" s="134">
        <v>5.7852740858429998E-4</v>
      </c>
      <c r="AP17" s="136">
        <v>1.8056661148752</v>
      </c>
    </row>
    <row r="18" spans="2:42" ht="15" x14ac:dyDescent="0.25">
      <c r="B18" s="70">
        <v>0.4</v>
      </c>
      <c r="C18" s="71">
        <v>4</v>
      </c>
      <c r="D18" s="72">
        <f>(X18*($T$11^$Q18))*Watts*CF_Altit</f>
        <v>156.9</v>
      </c>
      <c r="E18" s="86">
        <f>ROUND(((D18/Watts)/(($S$9-$S$10)*1.163))*$E$14,IF($X$4=1,0,IF($X$4=2,2)))</f>
        <v>13</v>
      </c>
      <c r="F18" s="74">
        <f>(IF($X$4=1,AM18,IF($X$4=2,AM18*0.334552563)))</f>
        <v>6.7175217997448257E-3</v>
      </c>
      <c r="G18" s="73"/>
      <c r="H18" s="73"/>
      <c r="I18" s="86"/>
      <c r="J18" s="106"/>
      <c r="K18" s="85">
        <f>L18-8</f>
        <v>14.899999999999999</v>
      </c>
      <c r="L18" s="80">
        <f t="shared" si="0"/>
        <v>22.9</v>
      </c>
      <c r="M18" s="75">
        <f t="shared" si="0"/>
        <v>0.75</v>
      </c>
      <c r="N18" s="90">
        <f>AD18*Cubics</f>
        <v>19</v>
      </c>
      <c r="O18" s="242">
        <f>((($D18/Watts)/(((p_atm*0.028964)/(8.31447*(20+273.15)))*(($N18/3600)/Cubics)*(1005+1870*((0.622)/(((p_atm)/($E$12*Pvs_Heat_in))-1)))))+Tl_heat)*Celc1+Celc2</f>
        <v>44.239582246822685</v>
      </c>
      <c r="P18" s="243">
        <f>(Tl_cool-(($G18/Watts)/(1006*$N18*kgss)))*Celc1+Celc2</f>
        <v>0</v>
      </c>
      <c r="Q18" s="210">
        <v>1</v>
      </c>
      <c r="R18" s="127">
        <f t="shared" ref="R18:R46" si="2">IF($X$16=1,S18,IF($X$16=2,S18,IF($X$16=3,U18,IF($X$16=4,U18,IF($X$16=5,V18,IF($X$16=6,V18,IF($X$16=7,T18,)))))))</f>
        <v>0.68</v>
      </c>
      <c r="S18" s="127">
        <v>0.68</v>
      </c>
      <c r="T18" s="127">
        <v>1.04</v>
      </c>
      <c r="U18" s="127">
        <v>0.85870000000000002</v>
      </c>
      <c r="V18" s="152">
        <v>0.87749999999999995</v>
      </c>
      <c r="W18" s="182" t="e">
        <f>(H18-G18)/H18</f>
        <v>#DIV/0!</v>
      </c>
      <c r="X18" s="137">
        <f>IF($X$16=1,AE18,IF($X$16=2,AQ18,IF($X$16=3,BP18,IF($X$16=4,BI18,IF($X$16=5,CE18,IF($X$16=6,BX18,IF($X$16=7,BB18,)))))))</f>
        <v>156.9</v>
      </c>
      <c r="Y18" s="138">
        <v>6.5300000000000002E-3</v>
      </c>
      <c r="Z18" s="138">
        <f t="shared" ref="Z18:AD21" si="3">IF($X$16=1,AG18,IF($X$16=2,AS18,IF($X$16=3,BR18,IF($X$16=4,BK18,IF($X$16=5,CG18,IF($X$16=6,BZ18,IF($X$16=7,BD18,)))))))</f>
        <v>66</v>
      </c>
      <c r="AA18" s="138">
        <f t="shared" si="3"/>
        <v>2.5649818987149301E-4</v>
      </c>
      <c r="AB18" s="138">
        <f t="shared" si="3"/>
        <v>22.9</v>
      </c>
      <c r="AC18" s="138">
        <f t="shared" si="3"/>
        <v>0.75</v>
      </c>
      <c r="AD18" s="138">
        <f t="shared" si="3"/>
        <v>19</v>
      </c>
      <c r="AE18" s="132">
        <f>AE30*($AK$22/$AK$34)</f>
        <v>156.9</v>
      </c>
      <c r="AF18" s="138">
        <v>2.5649818987149301E-4</v>
      </c>
      <c r="AG18" s="138">
        <v>66</v>
      </c>
      <c r="AH18" s="138">
        <f>AF18</f>
        <v>2.5649818987149301E-4</v>
      </c>
      <c r="AI18" s="139">
        <v>22.9</v>
      </c>
      <c r="AJ18" s="139">
        <v>0.75</v>
      </c>
      <c r="AK18" s="138">
        <v>19</v>
      </c>
      <c r="AL18" s="265">
        <f>((D18/Watts)/(($S$9-$S$10)*1.163))</f>
        <v>13.49097162510748</v>
      </c>
      <c r="AM18" s="134">
        <f t="shared" ref="AM18:AM21" si="4">((AN18*(AL18^AP18)*(($AL$22-19.5)/100)*2)+AO18*(AL18^2))*0.0098</f>
        <v>6.7175217997448257E-3</v>
      </c>
      <c r="AN18" s="138">
        <v>6.5250871001174002E-3</v>
      </c>
      <c r="AO18" s="134">
        <v>5.7852740858429998E-4</v>
      </c>
      <c r="AP18" s="136">
        <v>1.8056661148752</v>
      </c>
    </row>
    <row r="19" spans="2:42" ht="15" x14ac:dyDescent="0.25">
      <c r="B19" s="70">
        <v>0.6</v>
      </c>
      <c r="C19" s="71">
        <v>6</v>
      </c>
      <c r="D19" s="72">
        <f>(X19*($T$11^$Q19))*Watts*CF_Altit</f>
        <v>315.89999999999998</v>
      </c>
      <c r="E19" s="86">
        <f>ROUND(((D19/Watts)/(($S$9-$S$10)*1.163))*$E$14,IF($X$4=1,0,IF($X$4=2,2)))</f>
        <v>27</v>
      </c>
      <c r="F19" s="74">
        <f t="shared" ref="F19:F21" si="5">(IF($X$4=1,AM19,IF($X$4=2,AM19*0.334552563)))</f>
        <v>2.4300253860054872E-2</v>
      </c>
      <c r="G19" s="73"/>
      <c r="H19" s="73"/>
      <c r="I19" s="86"/>
      <c r="J19" s="106"/>
      <c r="K19" s="85">
        <f>L19-8</f>
        <v>18.8</v>
      </c>
      <c r="L19" s="80">
        <f t="shared" si="0"/>
        <v>26.8</v>
      </c>
      <c r="M19" s="75">
        <f t="shared" si="0"/>
        <v>1.17</v>
      </c>
      <c r="N19" s="90">
        <f>AD19*Cubics</f>
        <v>29</v>
      </c>
      <c r="O19" s="242">
        <f>((($D19/Watts)/(((p_atm*0.028964)/(8.31447*(20+273.15)))*(($N19/3600)/Cubics)*(1005+1870*((0.622)/(((p_atm)/($E$12*Pvs_Heat_in))-1)))))+Tl_heat)*Celc1+Celc2</f>
        <v>51.974769038846269</v>
      </c>
      <c r="P19" s="243">
        <f>(Tl_cool-(($G19/Watts)/(1006*$N19*kgss)))*Celc1+Celc2</f>
        <v>0</v>
      </c>
      <c r="Q19" s="210">
        <v>1</v>
      </c>
      <c r="R19" s="127">
        <f t="shared" si="2"/>
        <v>0.79</v>
      </c>
      <c r="S19" s="127">
        <v>0.79</v>
      </c>
      <c r="T19" s="127">
        <v>0.95</v>
      </c>
      <c r="U19" s="127">
        <v>0.8831</v>
      </c>
      <c r="V19" s="152">
        <v>0.88200000000000001</v>
      </c>
      <c r="W19" s="182" t="e">
        <f>(H19-G19)/H19</f>
        <v>#DIV/0!</v>
      </c>
      <c r="X19" s="137">
        <f>IF($X$16=1,AE19,IF($X$16=2,AQ19,IF($X$16=3,BP19,IF($X$16=4,BI19,IF($X$16=5,CE19,IF($X$16=6,BX19,IF($X$16=7,BB19,)))))))</f>
        <v>315.89999999999998</v>
      </c>
      <c r="Y19" s="133" t="str">
        <f>IF($X$16=1,AF19,IF($X$16=2,AR19,IF($X$16=3,BQ19,IF($X$16=4,BJ19,IF($X$16=5,CF19,IF($X$16=6,BY19,IF($X$16=7,BC19,)))))))</f>
        <v>b</v>
      </c>
      <c r="Z19" s="138">
        <f t="shared" si="3"/>
        <v>104</v>
      </c>
      <c r="AA19" s="133" t="str">
        <f t="shared" si="3"/>
        <v>b</v>
      </c>
      <c r="AB19" s="138">
        <f t="shared" si="3"/>
        <v>26.8</v>
      </c>
      <c r="AC19" s="138">
        <f t="shared" si="3"/>
        <v>1.17</v>
      </c>
      <c r="AD19" s="138">
        <f t="shared" si="3"/>
        <v>29</v>
      </c>
      <c r="AE19" s="132">
        <f>AE31*($AK$22/$AK$34)</f>
        <v>315.89999999999998</v>
      </c>
      <c r="AF19" s="133" t="s">
        <v>50</v>
      </c>
      <c r="AG19" s="138">
        <v>104</v>
      </c>
      <c r="AH19" s="133" t="s">
        <v>50</v>
      </c>
      <c r="AI19" s="139">
        <v>26.8</v>
      </c>
      <c r="AJ19" s="139">
        <v>1.17</v>
      </c>
      <c r="AK19" s="138">
        <v>29</v>
      </c>
      <c r="AL19" s="265">
        <f>((D19/Watts)/(($S$9-$S$10)*1.163))</f>
        <v>27.162510748065344</v>
      </c>
      <c r="AM19" s="134">
        <f t="shared" si="4"/>
        <v>2.4300253860054872E-2</v>
      </c>
      <c r="AN19" s="138">
        <v>6.5250871001174002E-3</v>
      </c>
      <c r="AO19" s="134">
        <v>5.7852740858429998E-4</v>
      </c>
      <c r="AP19" s="136">
        <v>1.8056661148752</v>
      </c>
    </row>
    <row r="20" spans="2:42" ht="15" x14ac:dyDescent="0.25">
      <c r="B20" s="70">
        <v>0.8</v>
      </c>
      <c r="C20" s="71">
        <v>8</v>
      </c>
      <c r="D20" s="72">
        <f>(X20*($T$11^$Q20))*Watts*CF_Altit</f>
        <v>420.9</v>
      </c>
      <c r="E20" s="86">
        <f>ROUND(((D20/Watts)/(($S$9-$S$10)*1.163))*$E$14,IF($X$4=1,0,IF($X$4=2,2)))</f>
        <v>36</v>
      </c>
      <c r="F20" s="74">
        <f t="shared" si="5"/>
        <v>4.1201808913652688E-2</v>
      </c>
      <c r="G20" s="73"/>
      <c r="H20" s="73"/>
      <c r="I20" s="86"/>
      <c r="J20" s="106"/>
      <c r="K20" s="85">
        <f>L20-8</f>
        <v>31.6</v>
      </c>
      <c r="L20" s="80">
        <f t="shared" si="0"/>
        <v>39.6</v>
      </c>
      <c r="M20" s="75">
        <f t="shared" si="0"/>
        <v>1.79</v>
      </c>
      <c r="N20" s="90">
        <f>AD20*Cubics</f>
        <v>40</v>
      </c>
      <c r="O20" s="242">
        <f>((($D20/Watts)/(((p_atm*0.028964)/(8.31447*(20+273.15)))*(($N20/3600)/Cubics)*(1005+1870*((0.622)/(((p_atm)/($E$12*Pvs_Heat_in))-1)))))+Tl_heat)*Celc1+Celc2</f>
        <v>50.886928487263489</v>
      </c>
      <c r="P20" s="243">
        <f>(Tl_cool-(($G20/Watts)/(1006*$N20*kgss)))*Celc1+Celc2</f>
        <v>0</v>
      </c>
      <c r="Q20" s="210">
        <v>1</v>
      </c>
      <c r="R20" s="127">
        <f t="shared" si="2"/>
        <v>0.87</v>
      </c>
      <c r="S20" s="127">
        <v>0.87</v>
      </c>
      <c r="T20" s="127">
        <v>0.95</v>
      </c>
      <c r="U20" s="127">
        <v>0.85389999999999999</v>
      </c>
      <c r="V20" s="152">
        <v>0.89500000000000002</v>
      </c>
      <c r="W20" s="182" t="e">
        <f>(H20-G20)/H20</f>
        <v>#DIV/0!</v>
      </c>
      <c r="X20" s="137">
        <f>IF($X$16=1,AE20,IF($X$16=2,AQ20,IF($X$16=3,BP20,IF($X$16=4,BI20,IF($X$16=5,CE20,IF($X$16=6,BX20,IF($X$16=7,BB20,)))))))</f>
        <v>420.9</v>
      </c>
      <c r="Y20" s="138">
        <v>1.8056700000000001</v>
      </c>
      <c r="Z20" s="138">
        <f t="shared" si="3"/>
        <v>144</v>
      </c>
      <c r="AA20" s="138">
        <f t="shared" si="3"/>
        <v>1.8235155847906248</v>
      </c>
      <c r="AB20" s="138">
        <f t="shared" si="3"/>
        <v>39.6</v>
      </c>
      <c r="AC20" s="138">
        <f t="shared" si="3"/>
        <v>1.79</v>
      </c>
      <c r="AD20" s="138">
        <f t="shared" si="3"/>
        <v>40</v>
      </c>
      <c r="AE20" s="132">
        <f>AE32*($AK$22/$AK$34)</f>
        <v>420.9</v>
      </c>
      <c r="AF20" s="138">
        <v>1.8235155847906248</v>
      </c>
      <c r="AG20" s="138">
        <v>144</v>
      </c>
      <c r="AH20" s="138">
        <f>AF20</f>
        <v>1.8235155847906248</v>
      </c>
      <c r="AI20" s="139">
        <v>39.6</v>
      </c>
      <c r="AJ20" s="139">
        <v>1.79</v>
      </c>
      <c r="AK20" s="138">
        <v>40</v>
      </c>
      <c r="AL20" s="265">
        <f>((D20/Watts)/(($S$9-$S$10)*1.163))</f>
        <v>36.190885640584689</v>
      </c>
      <c r="AM20" s="134">
        <f t="shared" si="4"/>
        <v>4.1201808913652688E-2</v>
      </c>
      <c r="AN20" s="138">
        <v>6.5250871001174002E-3</v>
      </c>
      <c r="AO20" s="134">
        <v>5.7852740858429998E-4</v>
      </c>
      <c r="AP20" s="136">
        <v>1.8056661148752</v>
      </c>
    </row>
    <row r="21" spans="2:42" ht="15" x14ac:dyDescent="0.25">
      <c r="B21" s="70">
        <v>1</v>
      </c>
      <c r="C21" s="71">
        <v>10</v>
      </c>
      <c r="D21" s="72">
        <f>(X21*($T$11^$Q21))*Watts*CF_Altit</f>
        <v>494.7</v>
      </c>
      <c r="E21" s="86">
        <f>ROUND(((D21/Watts)/(($S$9-$S$10)*1.163))*$E$14,IF($X$4=1,0,IF($X$4=2,2)))</f>
        <v>43</v>
      </c>
      <c r="F21" s="74">
        <f t="shared" si="5"/>
        <v>5.5474898550123948E-2</v>
      </c>
      <c r="G21" s="73"/>
      <c r="H21" s="73"/>
      <c r="I21" s="86"/>
      <c r="J21" s="106"/>
      <c r="K21" s="85">
        <f>L21-8</f>
        <v>39.200000000000003</v>
      </c>
      <c r="L21" s="80">
        <f t="shared" si="0"/>
        <v>47.2</v>
      </c>
      <c r="M21" s="75">
        <f t="shared" si="0"/>
        <v>2.67</v>
      </c>
      <c r="N21" s="90">
        <f>AD21*Cubics</f>
        <v>65</v>
      </c>
      <c r="O21" s="242">
        <f>((($D21/Watts)/(((p_atm*0.028964)/(8.31447*(20+273.15)))*(($N21/3600)/Cubics)*(1005+1870*((0.622)/(((p_atm)/($E$12*Pvs_Heat_in))-1)))))+Tl_heat)*Celc1+Celc2</f>
        <v>42.340060343438786</v>
      </c>
      <c r="P21" s="243">
        <f>(Tl_cool-(($G21/Watts)/(1006*$N21*kgss)))*Celc1+Celc2</f>
        <v>0</v>
      </c>
      <c r="Q21" s="210">
        <v>1</v>
      </c>
      <c r="R21" s="127">
        <f t="shared" si="2"/>
        <v>0.91</v>
      </c>
      <c r="S21" s="127">
        <v>0.91</v>
      </c>
      <c r="T21" s="127">
        <v>0.98</v>
      </c>
      <c r="U21" s="127">
        <v>0.77110000000000001</v>
      </c>
      <c r="V21" s="152">
        <v>0.91110000000000002</v>
      </c>
      <c r="W21" s="182" t="e">
        <f>(H21-G21)/H21</f>
        <v>#DIV/0!</v>
      </c>
      <c r="X21" s="137">
        <f>IF($X$16=1,AE21,IF($X$16=2,AQ21,IF($X$16=3,BP21,IF($X$16=4,BI21,IF($X$16=5,CE21,IF($X$16=6,BX21,IF($X$16=7,BB21,)))))))</f>
        <v>494.7</v>
      </c>
      <c r="Y21" s="150">
        <f>IF($X$16=1,AF21,IF($X$16=2,AR21,IF($X$16=3,BQ21,IF($X$16=4,BJ21,IF($X$16=5,CF21,IF($X$16=6,BY21,IF($X$16=7,BC21,)))))))</f>
        <v>0</v>
      </c>
      <c r="Z21" s="142">
        <f t="shared" si="3"/>
        <v>185</v>
      </c>
      <c r="AA21" s="150">
        <f t="shared" si="3"/>
        <v>0</v>
      </c>
      <c r="AB21" s="142">
        <f t="shared" si="3"/>
        <v>47.2</v>
      </c>
      <c r="AC21" s="142">
        <f t="shared" si="3"/>
        <v>2.67</v>
      </c>
      <c r="AD21" s="142">
        <f t="shared" si="3"/>
        <v>65</v>
      </c>
      <c r="AE21" s="132">
        <f>AE33*($AK$22/$AK$34)</f>
        <v>494.7</v>
      </c>
      <c r="AF21" s="141"/>
      <c r="AG21" s="142">
        <v>185</v>
      </c>
      <c r="AH21" s="141"/>
      <c r="AI21" s="143">
        <v>47.2</v>
      </c>
      <c r="AJ21" s="143">
        <v>2.67</v>
      </c>
      <c r="AK21" s="142">
        <v>65</v>
      </c>
      <c r="AL21" s="265">
        <f>((D21/Watts)/(($S$9-$S$10)*1.163))</f>
        <v>42.536543422184003</v>
      </c>
      <c r="AM21" s="134">
        <f t="shared" si="4"/>
        <v>5.5474898550123948E-2</v>
      </c>
      <c r="AN21" s="142">
        <v>6.5250871001174002E-3</v>
      </c>
      <c r="AO21" s="134">
        <v>5.7852740858429998E-4</v>
      </c>
      <c r="AP21" s="136">
        <v>1.8056661148752</v>
      </c>
    </row>
    <row r="22" spans="2:42" ht="16.899999999999999" customHeight="1" x14ac:dyDescent="0.25">
      <c r="B22" s="356" t="str">
        <f>IF($S$7=1,NL!A21,IF(cal!$S$7=2,EN!A21,IF(cal!$S$7=3,DE!A21,IF(cal!$S$7=4,FR!A21,IF(cal!$S$7=5,NR!A21,IF(cal!$S$7=6,SP!A21,IF(cal!$S$7=7,SW!A21,IF(cal!$S$7=8,TS!A21,IF(cal!$S$7=9,ExtraTaal1!A21,IF(cal!$S$7=10,ExtraTaal2!A21,IF(cal!$S$7=11,ExtraTaal3!A21,)))))))))))</f>
        <v>Micro Canal height 6 cm width 14 cm length 95 cm (Type 2)</v>
      </c>
      <c r="C22" s="357">
        <f>IF($S$7=1,NL!B21,IF(cal!$S$7=2,EN!B21,IF(cal!$S$7=3,DE!B21,IF(cal!$S$7=4,FR!B21,IF(cal!$S$7=5,NR!B21,IF(cal!$S$7=6,SP!B21,IF(cal!$S$7=7,SW!B21,IF(cal!$S$7=8,TS!B21,IF(cal!$S$7=9,ExtraTaal1!B21,IF(cal!$S$7=10,ExtraTaal2!B21,IF(cal!$S$7=11,ExtraTaal3!B21,)))))))))))</f>
        <v>0</v>
      </c>
      <c r="D22" s="357">
        <f>IF($S$7=1,NL!C21,IF(cal!$S$7=2,EN!C21,IF(cal!$S$7=3,DE!C21,IF(cal!$S$7=4,FR!C21,IF(cal!$S$7=5,NR!C21,IF(cal!$S$7=6,SP!C21,IF(cal!$S$7=7,SW!C21,IF(cal!$S$7=8,TS!C21,IF(cal!$S$7=9,ExtraTaal1!C21,IF(cal!$S$7=10,ExtraTaal2!C21,IF(cal!$S$7=11,ExtraTaal3!C21,)))))))))))</f>
        <v>0</v>
      </c>
      <c r="E22" s="357">
        <f>IF($S$7=1,NL!D21,IF(cal!$S$7=2,EN!D21,IF(cal!$S$7=3,DE!D21,IF(cal!$S$7=4,FR!D21,IF(cal!$S$7=5,NR!D21,IF(cal!$S$7=6,SP!D21,IF(cal!$S$7=7,SW!D21,IF(cal!$S$7=8,TS!D21,IF(cal!$S$7=9,ExtraTaal1!D21,IF(cal!$S$7=10,ExtraTaal2!D21,IF(cal!$S$7=11,ExtraTaal3!D21,)))))))))))</f>
        <v>0</v>
      </c>
      <c r="F22" s="357">
        <f>IF($S$7=1,NL!E21,IF(cal!$S$7=2,EN!E21,IF(cal!$S$7=3,DE!E21,IF(cal!$S$7=4,FR!E21,IF(cal!$S$7=5,NR!E21,IF(cal!$S$7=6,SP!E21,IF(cal!$S$7=7,SW!E21,IF(cal!$S$7=8,TS!E21,IF(cal!$S$7=9,ExtraTaal1!E21,IF(cal!$S$7=10,ExtraTaal2!E21,IF(cal!$S$7=11,ExtraTaal3!E21,)))))))))))</f>
        <v>0</v>
      </c>
      <c r="G22" s="357">
        <f>IF($S$7=1,NL!F21,IF(cal!$S$7=2,EN!F21,IF(cal!$S$7=3,DE!F21,IF(cal!$S$7=4,FR!F21,IF(cal!$S$7=5,NR!F21,IF(cal!$S$7=6,SP!F21,IF(cal!$S$7=7,SW!F21,IF(cal!$S$7=8,TS!F21,IF(cal!$S$7=9,ExtraTaal1!F21,IF(cal!$S$7=10,ExtraTaal2!F21,IF(cal!$S$7=11,ExtraTaal3!F21,)))))))))))</f>
        <v>0</v>
      </c>
      <c r="H22" s="357">
        <f>IF($S$7=1,NL!G21,IF(cal!$S$7=2,EN!G21,IF(cal!$S$7=3,DE!G21,IF(cal!$S$7=4,FR!G21,IF(cal!$S$7=5,NR!G21,IF(cal!$S$7=6,SP!G21,IF(cal!$S$7=7,SW!G21,IF(cal!$S$7=8,TS!G21,IF(cal!$S$7=9,ExtraTaal1!G21,IF(cal!$S$7=10,ExtraTaal2!G21,IF(cal!$S$7=11,ExtraTaal3!G21,)))))))))))</f>
        <v>0</v>
      </c>
      <c r="I22" s="357">
        <f>IF($S$7=1,NL!H21,IF(cal!$S$7=2,EN!H21,IF(cal!$S$7=3,DE!H21,IF(cal!$S$7=4,FR!H21,IF(cal!$S$7=5,NR!H21,IF(cal!$S$7=6,SP!H21,IF(cal!$S$7=7,SW!H21,IF(cal!$S$7=8,TS!H21,IF(cal!$S$7=9,ExtraTaal1!H21,IF(cal!$S$7=10,ExtraTaal2!H21,IF(cal!$S$7=11,ExtraTaal3!H21,)))))))))))</f>
        <v>0</v>
      </c>
      <c r="J22" s="357">
        <f>IF($S$7=1,NL!I21,IF(cal!$S$7=2,EN!I21,IF(cal!$S$7=3,DE!I21,IF(cal!$S$7=4,FR!I21,IF(cal!$S$7=5,NR!I21,IF(cal!$S$7=6,SP!I21,IF(cal!$S$7=7,SW!I21,IF(cal!$S$7=8,TS!I21,IF(cal!$S$7=9,ExtraTaal1!I21,IF(cal!$S$7=10,ExtraTaal2!I21,IF(cal!$S$7=11,ExtraTaal3!I21,)))))))))))</f>
        <v>0</v>
      </c>
      <c r="K22" s="357">
        <f>IF($S$7=1,NL!J21,IF(cal!$S$7=2,EN!J21,IF(cal!$S$7=3,DE!J21,IF(cal!$S$7=4,FR!J21,IF(cal!$S$7=5,NR!J21,IF(cal!$S$7=6,SP!J21,IF(cal!$S$7=7,SW!J21,IF(cal!$S$7=8,TS!J21,IF(cal!$S$7=9,ExtraTaal1!J21,IF(cal!$S$7=10,ExtraTaal2!J21,IF(cal!$S$7=11,ExtraTaal3!J21,)))))))))))</f>
        <v>0</v>
      </c>
      <c r="L22" s="357">
        <f>IF($S$7=1,NL!K21,IF(cal!$S$7=2,EN!K21,IF(cal!$S$7=3,DE!K21,IF(cal!$S$7=4,FR!K21,IF(cal!$S$7=5,NR!K21,IF(cal!$S$7=6,SP!K21,IF(cal!$S$7=7,SW!K21,IF(cal!$S$7=8,TS!K21,IF(cal!$S$7=9,ExtraTaal1!K21,IF(cal!$S$7=10,ExtraTaal2!K21,IF(cal!$S$7=11,ExtraTaal3!K21,)))))))))))</f>
        <v>0</v>
      </c>
      <c r="M22" s="357">
        <f>IF($S$7=1,NL!L21,IF(cal!$S$7=2,EN!L21,IF(cal!$S$7=3,DE!L21,IF(cal!$S$7=4,FR!L21,IF(cal!$S$7=5,NR!L21,IF(cal!$S$7=6,SP!L21,IF(cal!$S$7=7,SW!L21,IF(cal!$S$7=8,TS!L21,IF(cal!$S$7=9,ExtraTaal1!L21,IF(cal!$S$7=10,ExtraTaal2!L21,IF(cal!$S$7=11,ExtraTaal3!L21,)))))))))))</f>
        <v>0</v>
      </c>
      <c r="N22" s="357">
        <f>IF($S$7=1,NL!M21,IF(cal!$S$7=2,EN!M21,IF(cal!$S$7=3,DE!M21,IF(cal!$S$7=4,FR!M21,IF(cal!$S$7=5,NR!M21,IF(cal!$S$7=6,SP!M21,IF(cal!$S$7=7,SW!M21,IF(cal!$S$7=8,TS!M21,IF(cal!$S$7=9,ExtraTaal1!M21,IF(cal!$S$7=10,ExtraTaal2!M21,IF(cal!$S$7=11,ExtraTaal3!M21,)))))))))))</f>
        <v>0</v>
      </c>
      <c r="O22" s="357">
        <f>IF($S$7=1,NL!N21,IF(cal!$S$7=2,EN!N21,IF(cal!$S$7=3,DE!N21,IF(cal!$S$7=4,FR!N21,IF(cal!$S$7=5,NR!N21,IF(cal!$S$7=6,SP!N21,IF(cal!$S$7=7,SW!N21,IF(cal!$S$7=8,TS!N21,IF(cal!$S$7=9,ExtraTaal1!N21,IF(cal!$S$7=10,ExtraTaal2!N21,IF(cal!$S$7=11,ExtraTaal3!N21,)))))))))))</f>
        <v>0</v>
      </c>
      <c r="P22" s="358">
        <f>IF($S$7=1,NL!O21,IF(cal!$S$7=2,EN!O21,IF(cal!$S$7=3,DE!O21,IF(cal!$S$7=4,FR!O21,IF(cal!$S$7=5,NR!O21,IF(cal!$S$7=6,SP!O21,IF(cal!$S$7=7,SW!O21,IF(cal!$S$7=8,TS!O21,IF(cal!$S$7=9,ExtraTaal1!O21,IF(cal!$S$7=10,ExtraTaal2!O21,IF(cal!$S$7=11,ExtraTaal3!O21,)))))))))))</f>
        <v>0</v>
      </c>
      <c r="Q22" s="198" t="s">
        <v>11</v>
      </c>
      <c r="R22" s="127" t="str">
        <f t="shared" si="2"/>
        <v>n-value</v>
      </c>
      <c r="S22" s="128" t="s">
        <v>11</v>
      </c>
      <c r="T22" s="127" t="s">
        <v>11</v>
      </c>
      <c r="U22" s="79" t="s">
        <v>11</v>
      </c>
      <c r="V22" s="79" t="s">
        <v>11</v>
      </c>
      <c r="W22" s="182"/>
      <c r="X22" s="144" t="str">
        <f t="shared" ref="X22:X46" si="6">IF($X$16=1,AE22,IF($X$16=2,AQ22,IF($X$16=3,BP22,IF($X$16=4,BI22,IF($X$16=5,CE22,IF($X$16=6,BX22,IF($X$16=7,BB22,)))))))</f>
        <v>H</v>
      </c>
      <c r="Y22" s="155">
        <v>6</v>
      </c>
      <c r="Z22" s="144" t="str">
        <f t="shared" ref="Z22:Z45" si="7">IF($X$16=1,AG22,IF($X$16=2,AS22,IF($X$16=3,BR22,IF($X$16=4,BK22,IF($X$16=5,CG22,IF($X$16=6,BZ22,IF($X$16=7,BD22,)))))))</f>
        <v>B</v>
      </c>
      <c r="AA22" s="155">
        <f t="shared" ref="AA22:AA45" si="8">IF($X$16=1,AH22,IF($X$16=2,AT22,IF($X$16=3,BS22,IF($X$16=4,BL22,IF($X$16=5,CH22,IF($X$16=6,CA22,IF($X$16=7,BE22,)))))))</f>
        <v>14</v>
      </c>
      <c r="AB22" s="144" t="str">
        <f t="shared" ref="AB22:AB45" si="9">IF($X$16=1,AI22,IF($X$16=2,AU22,IF($X$16=3,BT22,IF($X$16=4,BM22,IF($X$16=5,CI22,IF($X$16=6,CB22,IF($X$16=7,BF22,)))))))</f>
        <v>L</v>
      </c>
      <c r="AC22" s="147">
        <f t="shared" ref="AC22:AC45" si="10">IF($X$16=1,AJ22,IF($X$16=2,AV22,IF($X$16=3,BU22,IF($X$16=4,BN22,IF($X$16=5,CJ22,IF($X$16=6,CC22,IF($X$16=7,BG22,)))))))</f>
        <v>60</v>
      </c>
      <c r="AD22" s="146">
        <f t="shared" ref="AD22:AD45" si="11">IF($X$16=1,AK22,IF($X$16=2,AW22,IF($X$16=3,BV22,IF($X$16=4,BO22,IF($X$16=5,CK22,IF($X$16=6,CD22,IF($X$16=7,BH22,)))))))</f>
        <v>30</v>
      </c>
      <c r="AE22" s="144" t="s">
        <v>61</v>
      </c>
      <c r="AF22" s="145">
        <f>6*IF($X$4=1,1,IF($X$4=2,1/2.54))</f>
        <v>6</v>
      </c>
      <c r="AG22" s="144" t="s">
        <v>62</v>
      </c>
      <c r="AH22" s="145">
        <f>ROUND(14*IF($X$4=1,1,IF($X$4=2,1/2.54)),1)</f>
        <v>14</v>
      </c>
      <c r="AI22" s="144" t="s">
        <v>63</v>
      </c>
      <c r="AJ22" s="285">
        <f>60*IF($X$4=1,1,IF($X$4=2,1/2.54))</f>
        <v>60</v>
      </c>
      <c r="AK22" s="269">
        <v>30</v>
      </c>
      <c r="AL22" s="284">
        <v>60</v>
      </c>
      <c r="AM22" s="282">
        <f t="shared" ref="AM22:AM46" si="12">((AN22*(AL22^AP22)*(($AJ$22-19.5)/100)*2)+AO22*(AL22^2))*0.0098</f>
        <v>0</v>
      </c>
      <c r="AN22" s="282"/>
      <c r="AO22" s="282"/>
      <c r="AP22" s="283"/>
    </row>
    <row r="23" spans="2:42" ht="15" x14ac:dyDescent="0.25">
      <c r="B23" s="70">
        <v>0.2</v>
      </c>
      <c r="C23" s="71">
        <v>2</v>
      </c>
      <c r="D23" s="72">
        <f>(X23*($T$11^$Q23))*Watts*CF_Altit</f>
        <v>129.35</v>
      </c>
      <c r="E23" s="86">
        <f>ROUND(((D23/Watts)/(($S$9-$S$10)*1.163))*$E$14,IF($X$4=1,0,IF($X$4=2,2)))</f>
        <v>11</v>
      </c>
      <c r="F23" s="74">
        <f>(IF($X$4=1,AM23,IF($X$4=2,AM23*0.334552563)))</f>
        <v>8.1804988909735012E-3</v>
      </c>
      <c r="G23" s="73"/>
      <c r="H23" s="73"/>
      <c r="I23" s="86"/>
      <c r="J23" s="106"/>
      <c r="K23" s="85">
        <f>L23-8</f>
        <v>14.3</v>
      </c>
      <c r="L23" s="80">
        <f t="shared" ref="L23:M27" si="13">AB23</f>
        <v>22.3</v>
      </c>
      <c r="M23" s="75">
        <f t="shared" si="13"/>
        <v>0.52</v>
      </c>
      <c r="N23" s="90">
        <f>AD23*Cubics</f>
        <v>18</v>
      </c>
      <c r="O23" s="240">
        <f>((($D23/Watts)/(((p_atm*0.028964)/(8.31447*(20+273.15)))*(($N23/3600)/Cubics)*(1005+1870*((0.622)/(((p_atm)/($E$12*Pvs_Heat_in))-1)))))+Tl_heat)*Celc1+Celc2</f>
        <v>41.093551911657727</v>
      </c>
      <c r="P23" s="241">
        <f>(Tl_cool-(($G23/Watts)/(1006*$N23*kgss)))*Celc1+Celc2</f>
        <v>0</v>
      </c>
      <c r="Q23" s="210">
        <v>1</v>
      </c>
      <c r="R23" s="127">
        <f t="shared" si="2"/>
        <v>0.6</v>
      </c>
      <c r="S23" s="127">
        <v>0.6</v>
      </c>
      <c r="T23" s="127">
        <v>1.1599999999999999</v>
      </c>
      <c r="U23" s="127">
        <v>0.78069999999999995</v>
      </c>
      <c r="V23" s="152">
        <v>0.87660000000000005</v>
      </c>
      <c r="W23" s="182" t="e">
        <f>(H23-G23)/H23</f>
        <v>#DIV/0!</v>
      </c>
      <c r="X23" s="132">
        <f t="shared" si="6"/>
        <v>129.35</v>
      </c>
      <c r="Y23" s="133" t="str">
        <f>IF($X$16=1,AF23,IF($X$16=2,AR23,IF($X$16=3,BQ23,IF($X$16=4,BJ23,IF($X$16=5,CF23,IF($X$16=6,BY23,IF($X$16=7,BC23,)))))))</f>
        <v>a</v>
      </c>
      <c r="Z23" s="134">
        <f t="shared" si="7"/>
        <v>62</v>
      </c>
      <c r="AA23" s="133" t="str">
        <f t="shared" si="8"/>
        <v>a</v>
      </c>
      <c r="AB23" s="134">
        <f t="shared" si="9"/>
        <v>22.3</v>
      </c>
      <c r="AC23" s="134">
        <f t="shared" si="10"/>
        <v>0.52</v>
      </c>
      <c r="AD23" s="134">
        <f t="shared" si="11"/>
        <v>18</v>
      </c>
      <c r="AE23" s="132">
        <f>AE29*($AK$28/$AK$34)</f>
        <v>129.35</v>
      </c>
      <c r="AF23" s="133" t="s">
        <v>49</v>
      </c>
      <c r="AG23" s="134">
        <v>62</v>
      </c>
      <c r="AH23" s="133" t="s">
        <v>49</v>
      </c>
      <c r="AI23" s="135">
        <v>22.3</v>
      </c>
      <c r="AJ23" s="135">
        <v>0.52</v>
      </c>
      <c r="AK23" s="134">
        <v>18</v>
      </c>
      <c r="AL23" s="265">
        <f>((D23/Watts)/(($S$9-$S$10)*1.163))</f>
        <v>11.122098022355974</v>
      </c>
      <c r="AM23" s="134">
        <f>((AN23*(AL23^AP23)*(($AL$28-19.5)/100)*2)+AO23*(AL23^2))*0.0098</f>
        <v>8.1804988909735012E-3</v>
      </c>
      <c r="AN23" s="134">
        <v>6.5250871001174002E-3</v>
      </c>
      <c r="AO23" s="134">
        <v>5.7852740858429998E-4</v>
      </c>
      <c r="AP23" s="136">
        <v>1.8056661148752</v>
      </c>
    </row>
    <row r="24" spans="2:42" ht="15" x14ac:dyDescent="0.25">
      <c r="B24" s="70">
        <v>0.4</v>
      </c>
      <c r="C24" s="71">
        <v>4</v>
      </c>
      <c r="D24" s="72">
        <f>(X24*($T$11^$Q24))*Watts*CF_Altit</f>
        <v>339.95</v>
      </c>
      <c r="E24" s="86">
        <f>ROUND(((D24/Watts)/(($S$9-$S$10)*1.163))*$E$14,IF($X$4=1,0,IF($X$4=2,2)))</f>
        <v>29</v>
      </c>
      <c r="F24" s="74">
        <f t="shared" ref="F24:F27" si="14">(IF($X$4=1,AM24,IF($X$4=2,AM24*0.334552563)))</f>
        <v>4.7659438328917308E-2</v>
      </c>
      <c r="G24" s="73"/>
      <c r="H24" s="73"/>
      <c r="I24" s="86"/>
      <c r="J24" s="106"/>
      <c r="K24" s="85">
        <f>L24-8</f>
        <v>17.399999999999999</v>
      </c>
      <c r="L24" s="80">
        <f t="shared" si="13"/>
        <v>25.4</v>
      </c>
      <c r="M24" s="75">
        <f t="shared" si="13"/>
        <v>0.87</v>
      </c>
      <c r="N24" s="90">
        <f>AD24*Cubics</f>
        <v>30</v>
      </c>
      <c r="O24" s="242">
        <f>((($D24/Watts)/(((p_atm*0.028964)/(8.31447*(20+273.15)))*(($N24/3600)/Cubics)*(1005+1870*((0.622)/(((p_atm)/($E$12*Pvs_Heat_in))-1)))))+Tl_heat)*Celc1+Celc2</f>
        <v>53.262093416473348</v>
      </c>
      <c r="P24" s="243">
        <f>(Tl_cool-(($G24/Watts)/(1006*$N24*kgss)))*Celc1+Celc2</f>
        <v>0</v>
      </c>
      <c r="Q24" s="210">
        <v>1</v>
      </c>
      <c r="R24" s="127">
        <f t="shared" si="2"/>
        <v>0.68</v>
      </c>
      <c r="S24" s="127">
        <v>0.68</v>
      </c>
      <c r="T24" s="127">
        <v>1.04</v>
      </c>
      <c r="U24" s="127">
        <v>0.85870000000000002</v>
      </c>
      <c r="V24" s="152">
        <v>0.87749999999999995</v>
      </c>
      <c r="W24" s="182" t="e">
        <f>(H24-G24)/H24</f>
        <v>#DIV/0!</v>
      </c>
      <c r="X24" s="137">
        <f t="shared" si="6"/>
        <v>339.95</v>
      </c>
      <c r="Y24" s="138">
        <f>IF($X$16=1,AF24,IF($X$16=2,AR24,IF($X$16=3,BQ24,IF($X$16=4,BJ24,IF($X$16=5,CF24,IF($X$16=6,BY24,IF($X$16=7,BC24,)))))))</f>
        <v>4.0202009009986008E-4</v>
      </c>
      <c r="Z24" s="138">
        <f t="shared" si="7"/>
        <v>135</v>
      </c>
      <c r="AA24" s="138">
        <f t="shared" si="8"/>
        <v>4.0202009009986008E-4</v>
      </c>
      <c r="AB24" s="138">
        <f t="shared" si="9"/>
        <v>25.4</v>
      </c>
      <c r="AC24" s="138">
        <f t="shared" si="10"/>
        <v>0.87</v>
      </c>
      <c r="AD24" s="138">
        <f t="shared" si="11"/>
        <v>30</v>
      </c>
      <c r="AE24" s="132">
        <f>AE30*($AK$28/$AK$34)</f>
        <v>339.95</v>
      </c>
      <c r="AF24" s="138">
        <v>4.0202009009986008E-4</v>
      </c>
      <c r="AG24" s="138">
        <v>135</v>
      </c>
      <c r="AH24" s="138">
        <f>AF24</f>
        <v>4.0202009009986008E-4</v>
      </c>
      <c r="AI24" s="139">
        <v>25.4</v>
      </c>
      <c r="AJ24" s="139">
        <v>0.87</v>
      </c>
      <c r="AK24" s="138">
        <v>30</v>
      </c>
      <c r="AL24" s="265">
        <f>((D24/Watts)/(($S$9-$S$10)*1.163))</f>
        <v>29.230438521066205</v>
      </c>
      <c r="AM24" s="134">
        <f t="shared" ref="AM24:AM27" si="15">((AN24*(AL24^AP24)*(($AL$28-19.5)/100)*2)+AO24*(AL24^2))*0.0098</f>
        <v>4.7659438328917308E-2</v>
      </c>
      <c r="AN24" s="134">
        <v>6.5250871001174002E-3</v>
      </c>
      <c r="AO24" s="134">
        <v>5.7852740858429998E-4</v>
      </c>
      <c r="AP24" s="136">
        <v>1.8056661148752</v>
      </c>
    </row>
    <row r="25" spans="2:42" ht="15" x14ac:dyDescent="0.25">
      <c r="B25" s="70">
        <v>0.6</v>
      </c>
      <c r="C25" s="71">
        <v>6</v>
      </c>
      <c r="D25" s="72">
        <f>(X25*($T$11^$Q25))*Watts*CF_Altit</f>
        <v>684.45</v>
      </c>
      <c r="E25" s="86">
        <f>ROUND(((D25/Watts)/(($S$9-$S$10)*1.163))*$E$14,IF($X$4=1,0,IF($X$4=2,2)))</f>
        <v>59</v>
      </c>
      <c r="F25" s="74">
        <f t="shared" si="14"/>
        <v>0.17112857897053232</v>
      </c>
      <c r="G25" s="73"/>
      <c r="H25" s="73"/>
      <c r="I25" s="86"/>
      <c r="J25" s="106"/>
      <c r="K25" s="85">
        <f>L25-8</f>
        <v>25.5</v>
      </c>
      <c r="L25" s="80">
        <f t="shared" si="13"/>
        <v>33.5</v>
      </c>
      <c r="M25" s="75">
        <f t="shared" si="13"/>
        <v>1.53</v>
      </c>
      <c r="N25" s="90">
        <f>AD25*Cubics</f>
        <v>50</v>
      </c>
      <c r="O25" s="242">
        <f>((($D25/Watts)/(((p_atm*0.028964)/(8.31447*(20+273.15)))*(($N25/3600)/Cubics)*(1005+1870*((0.622)/(((p_atm)/($E$12*Pvs_Heat_in))-1)))))+Tl_heat)*Celc1+Celc2</f>
        <v>60.181626425483486</v>
      </c>
      <c r="P25" s="243">
        <f>(Tl_cool-(($G25/Watts)/(1006*$N25*kgss)))*Celc1+Celc2</f>
        <v>0</v>
      </c>
      <c r="Q25" s="210">
        <v>1</v>
      </c>
      <c r="R25" s="127">
        <f t="shared" si="2"/>
        <v>0.79</v>
      </c>
      <c r="S25" s="127">
        <v>0.79</v>
      </c>
      <c r="T25" s="127">
        <v>0.95</v>
      </c>
      <c r="U25" s="127">
        <v>0.8831</v>
      </c>
      <c r="V25" s="152">
        <v>0.88200000000000001</v>
      </c>
      <c r="W25" s="182" t="e">
        <f>(H25-G25)/H25</f>
        <v>#DIV/0!</v>
      </c>
      <c r="X25" s="137">
        <f t="shared" si="6"/>
        <v>684.45</v>
      </c>
      <c r="Y25" s="133" t="str">
        <f>IF($X$16=1,AF25,IF($X$16=2,AR25,IF($X$16=3,BQ25,IF($X$16=4,BJ25,IF($X$16=5,CF25,IF($X$16=6,BY25,IF($X$16=7,BC25,)))))))</f>
        <v>b</v>
      </c>
      <c r="Z25" s="138">
        <f t="shared" si="7"/>
        <v>214</v>
      </c>
      <c r="AA25" s="133" t="str">
        <f t="shared" si="8"/>
        <v>b</v>
      </c>
      <c r="AB25" s="138">
        <f t="shared" si="9"/>
        <v>33.5</v>
      </c>
      <c r="AC25" s="138">
        <f t="shared" si="10"/>
        <v>1.53</v>
      </c>
      <c r="AD25" s="138">
        <f t="shared" si="11"/>
        <v>50</v>
      </c>
      <c r="AE25" s="132">
        <f>AE31*($AK$28/$AK$34)</f>
        <v>684.45</v>
      </c>
      <c r="AF25" s="133" t="s">
        <v>50</v>
      </c>
      <c r="AG25" s="138">
        <v>214</v>
      </c>
      <c r="AH25" s="133" t="s">
        <v>50</v>
      </c>
      <c r="AI25" s="139">
        <v>33.5</v>
      </c>
      <c r="AJ25" s="139">
        <v>1.53</v>
      </c>
      <c r="AK25" s="138">
        <v>50</v>
      </c>
      <c r="AL25" s="265">
        <f>((D25/Watts)/(($S$9-$S$10)*1.163))</f>
        <v>58.852106620808257</v>
      </c>
      <c r="AM25" s="134">
        <f t="shared" si="15"/>
        <v>0.17112857897053232</v>
      </c>
      <c r="AN25" s="134">
        <v>6.5250871001174002E-3</v>
      </c>
      <c r="AO25" s="134">
        <v>5.7852740858429998E-4</v>
      </c>
      <c r="AP25" s="136">
        <v>1.8056661148752</v>
      </c>
    </row>
    <row r="26" spans="2:42" ht="15" x14ac:dyDescent="0.25">
      <c r="B26" s="70">
        <v>0.8</v>
      </c>
      <c r="C26" s="71">
        <v>8</v>
      </c>
      <c r="D26" s="72">
        <f>(X26*($T$11^$Q26))*Watts*CF_Altit</f>
        <v>911.95</v>
      </c>
      <c r="E26" s="86">
        <f>ROUND(((D26/Watts)/(($S$9-$S$10)*1.163))*$E$14,IF($X$4=1,0,IF($X$4=2,2)))</f>
        <v>78</v>
      </c>
      <c r="F26" s="74">
        <f t="shared" si="14"/>
        <v>0.28920796013227545</v>
      </c>
      <c r="G26" s="73"/>
      <c r="H26" s="73"/>
      <c r="I26" s="86"/>
      <c r="J26" s="106"/>
      <c r="K26" s="85">
        <f>L26-8</f>
        <v>36.1</v>
      </c>
      <c r="L26" s="80">
        <f t="shared" si="13"/>
        <v>44.1</v>
      </c>
      <c r="M26" s="75">
        <f t="shared" si="13"/>
        <v>2.46</v>
      </c>
      <c r="N26" s="90">
        <f>AD26*Cubics</f>
        <v>74</v>
      </c>
      <c r="O26" s="242">
        <f>((($D26/Watts)/(((p_atm*0.028964)/(8.31447*(20+273.15)))*(($N26/3600)/Cubics)*(1005+1870*((0.622)/(((p_atm)/($E$12*Pvs_Heat_in))-1)))))+Tl_heat)*Celc1+Celc2</f>
        <v>56.173880210308596</v>
      </c>
      <c r="P26" s="243">
        <f>(Tl_cool-(($G26/Watts)/(1006*$N26*kgss)))*Celc1+Celc2</f>
        <v>0</v>
      </c>
      <c r="Q26" s="210">
        <v>1</v>
      </c>
      <c r="R26" s="127">
        <f t="shared" si="2"/>
        <v>0.87</v>
      </c>
      <c r="S26" s="127">
        <v>0.87</v>
      </c>
      <c r="T26" s="127">
        <v>0.95</v>
      </c>
      <c r="U26" s="127">
        <v>0.85389999999999999</v>
      </c>
      <c r="V26" s="152">
        <v>0.89500000000000002</v>
      </c>
      <c r="W26" s="182" t="e">
        <f>(H26-G26)/H26</f>
        <v>#DIV/0!</v>
      </c>
      <c r="X26" s="137">
        <f t="shared" si="6"/>
        <v>911.95</v>
      </c>
      <c r="Y26" s="138">
        <f>IF($X$16=1,AF26,IF($X$16=2,AR26,IF($X$16=3,BQ26,IF($X$16=4,BJ26,IF($X$16=5,CF26,IF($X$16=6,BY26,IF($X$16=7,BC26,)))))))</f>
        <v>1.8235155847906248</v>
      </c>
      <c r="Z26" s="138">
        <f t="shared" si="7"/>
        <v>296</v>
      </c>
      <c r="AA26" s="138">
        <f t="shared" si="8"/>
        <v>1.8235155847906248</v>
      </c>
      <c r="AB26" s="138">
        <f t="shared" si="9"/>
        <v>44.1</v>
      </c>
      <c r="AC26" s="138">
        <f t="shared" si="10"/>
        <v>2.46</v>
      </c>
      <c r="AD26" s="138">
        <f t="shared" si="11"/>
        <v>74</v>
      </c>
      <c r="AE26" s="132">
        <f>AE32*($AK$28/$AK$34)</f>
        <v>911.95</v>
      </c>
      <c r="AF26" s="138">
        <v>1.8235155847906248</v>
      </c>
      <c r="AG26" s="138">
        <v>296</v>
      </c>
      <c r="AH26" s="138">
        <f>AF26</f>
        <v>1.8235155847906248</v>
      </c>
      <c r="AI26" s="139">
        <v>44.1</v>
      </c>
      <c r="AJ26" s="139">
        <v>2.46</v>
      </c>
      <c r="AK26" s="138">
        <v>74</v>
      </c>
      <c r="AL26" s="265">
        <f>((D26/Watts)/(($S$9-$S$10)*1.163))</f>
        <v>78.413585554600175</v>
      </c>
      <c r="AM26" s="134">
        <f t="shared" si="15"/>
        <v>0.28920796013227545</v>
      </c>
      <c r="AN26" s="134">
        <v>6.5250871001174002E-3</v>
      </c>
      <c r="AO26" s="134">
        <v>5.7852740858429998E-4</v>
      </c>
      <c r="AP26" s="136">
        <v>1.8056661148752</v>
      </c>
    </row>
    <row r="27" spans="2:42" ht="15" x14ac:dyDescent="0.25">
      <c r="B27" s="70">
        <v>1</v>
      </c>
      <c r="C27" s="71">
        <v>10</v>
      </c>
      <c r="D27" s="72">
        <f>(X27*($T$11^$Q27))*Watts*CF_Altit</f>
        <v>1071.8500000000001</v>
      </c>
      <c r="E27" s="86">
        <f>ROUND(((D27/Watts)/(($S$9-$S$10)*1.163))*$E$14,IF($X$4=1,0,IF($X$4=2,2)))</f>
        <v>92</v>
      </c>
      <c r="F27" s="74">
        <f t="shared" si="14"/>
        <v>0.38865796493862237</v>
      </c>
      <c r="G27" s="73"/>
      <c r="H27" s="73"/>
      <c r="I27" s="86"/>
      <c r="J27" s="106"/>
      <c r="K27" s="85">
        <f>L27-8</f>
        <v>42.5</v>
      </c>
      <c r="L27" s="80">
        <f t="shared" si="13"/>
        <v>50.5</v>
      </c>
      <c r="M27" s="75">
        <f t="shared" si="13"/>
        <v>3.84</v>
      </c>
      <c r="N27" s="90">
        <f>AD27*Cubics</f>
        <v>98</v>
      </c>
      <c r="O27" s="242">
        <f>((($D27/Watts)/(((p_atm*0.028964)/(8.31447*(20+273.15)))*(($N27/3600)/Cubics)*(1005+1870*((0.622)/(((p_atm)/($E$12*Pvs_Heat_in))-1)))))+Tl_heat)*Celc1+Celc2</f>
        <v>52.104338418717312</v>
      </c>
      <c r="P27" s="243">
        <f>(Tl_cool-(($G27/Watts)/(1006*$N27*kgss)))*Celc1+Celc2</f>
        <v>0</v>
      </c>
      <c r="Q27" s="210">
        <v>1</v>
      </c>
      <c r="R27" s="127">
        <f t="shared" si="2"/>
        <v>0.91</v>
      </c>
      <c r="S27" s="127">
        <v>0.91</v>
      </c>
      <c r="T27" s="79">
        <v>0.98</v>
      </c>
      <c r="U27" s="127">
        <v>0.77110000000000001</v>
      </c>
      <c r="V27" s="152">
        <v>0.91110000000000002</v>
      </c>
      <c r="W27" s="182" t="e">
        <f>(H27-G27)/H27</f>
        <v>#DIV/0!</v>
      </c>
      <c r="X27" s="140">
        <f t="shared" si="6"/>
        <v>1071.8500000000001</v>
      </c>
      <c r="Y27" s="150">
        <f>IF($X$16=1,AF27,IF($X$16=2,AR27,IF($X$16=3,BQ27,IF($X$16=4,BJ27,IF($X$16=5,CF27,IF($X$16=6,BY27,IF($X$16=7,BC27,)))))))</f>
        <v>0</v>
      </c>
      <c r="Z27" s="142">
        <f t="shared" si="7"/>
        <v>381</v>
      </c>
      <c r="AA27" s="150">
        <f t="shared" si="8"/>
        <v>0</v>
      </c>
      <c r="AB27" s="142">
        <f t="shared" si="9"/>
        <v>50.5</v>
      </c>
      <c r="AC27" s="142">
        <f t="shared" si="10"/>
        <v>3.84</v>
      </c>
      <c r="AD27" s="142">
        <f t="shared" si="11"/>
        <v>98</v>
      </c>
      <c r="AE27" s="132">
        <f>AE33*($AK$28/$AK$34)</f>
        <v>1071.8500000000001</v>
      </c>
      <c r="AF27" s="141"/>
      <c r="AG27" s="142">
        <v>381</v>
      </c>
      <c r="AH27" s="141"/>
      <c r="AI27" s="143">
        <v>50.5</v>
      </c>
      <c r="AJ27" s="143">
        <v>3.84</v>
      </c>
      <c r="AK27" s="142">
        <v>98</v>
      </c>
      <c r="AL27" s="265">
        <f>((D27/Watts)/(($S$9-$S$10)*1.163))</f>
        <v>92.162510748065358</v>
      </c>
      <c r="AM27" s="134">
        <f t="shared" si="15"/>
        <v>0.38865796493862237</v>
      </c>
      <c r="AN27" s="134">
        <v>6.5250871001174002E-3</v>
      </c>
      <c r="AO27" s="134">
        <v>5.7852740858429998E-4</v>
      </c>
      <c r="AP27" s="136">
        <v>1.8056661148752</v>
      </c>
    </row>
    <row r="28" spans="2:42" ht="18" customHeight="1" x14ac:dyDescent="0.25">
      <c r="B28" s="356" t="str">
        <f>IF($S$7=1,NL!A27,IF(cal!$S$7=2,EN!A27,IF(cal!$S$7=3,DE!A27,IF(cal!$S$7=4,FR!A27,IF(cal!$S$7=5,NR!A27,IF(cal!$S$7=6,SP!A27,IF(cal!$S$7=7,SW!A27,IF(cal!$S$7=8,TS!A27,IF(cal!$S$7=9,ExtraTaal1!A27,IF(cal!$S$7=10,ExtraTaal2!A27,IF(cal!$S$7=11,ExtraTaal3!A27,)))))))))))</f>
        <v>Micro Canal height 6 cm width 14 cm length 130 cm (Type 3)</v>
      </c>
      <c r="C28" s="357">
        <f>IF($S$7=1,NL!B27,IF(cal!$S$7=2,EN!B27,IF(cal!$S$7=3,DE!B27,IF(cal!$S$7=4,FR!B27,IF(cal!$S$7=5,NR!B27,IF(cal!$S$7=6,SP!B27,IF(cal!$S$7=7,SW!B27,IF(cal!$S$7=8,TS!B27,IF(cal!$S$7=9,ExtraTaal1!B27,IF(cal!$S$7=10,ExtraTaal2!B27,IF(cal!$S$7=11,ExtraTaal3!B27,)))))))))))</f>
        <v>0</v>
      </c>
      <c r="D28" s="357">
        <f>IF($S$7=1,NL!C27,IF(cal!$S$7=2,EN!C27,IF(cal!$S$7=3,DE!C27,IF(cal!$S$7=4,FR!C27,IF(cal!$S$7=5,NR!C27,IF(cal!$S$7=6,SP!C27,IF(cal!$S$7=7,SW!C27,IF(cal!$S$7=8,TS!C27,IF(cal!$S$7=9,ExtraTaal1!C27,IF(cal!$S$7=10,ExtraTaal2!C27,IF(cal!$S$7=11,ExtraTaal3!C27,)))))))))))</f>
        <v>0</v>
      </c>
      <c r="E28" s="357">
        <f>IF($S$7=1,NL!D27,IF(cal!$S$7=2,EN!D27,IF(cal!$S$7=3,DE!D27,IF(cal!$S$7=4,FR!D27,IF(cal!$S$7=5,NR!D27,IF(cal!$S$7=6,SP!D27,IF(cal!$S$7=7,SW!D27,IF(cal!$S$7=8,TS!D27,IF(cal!$S$7=9,ExtraTaal1!D27,IF(cal!$S$7=10,ExtraTaal2!D27,IF(cal!$S$7=11,ExtraTaal3!D27,)))))))))))</f>
        <v>0</v>
      </c>
      <c r="F28" s="357">
        <f>IF($S$7=1,NL!E27,IF(cal!$S$7=2,EN!E27,IF(cal!$S$7=3,DE!E27,IF(cal!$S$7=4,FR!E27,IF(cal!$S$7=5,NR!E27,IF(cal!$S$7=6,SP!E27,IF(cal!$S$7=7,SW!E27,IF(cal!$S$7=8,TS!E27,IF(cal!$S$7=9,ExtraTaal1!E27,IF(cal!$S$7=10,ExtraTaal2!E27,IF(cal!$S$7=11,ExtraTaal3!E27,)))))))))))</f>
        <v>0</v>
      </c>
      <c r="G28" s="357">
        <f>IF($S$7=1,NL!F27,IF(cal!$S$7=2,EN!F27,IF(cal!$S$7=3,DE!F27,IF(cal!$S$7=4,FR!F27,IF(cal!$S$7=5,NR!F27,IF(cal!$S$7=6,SP!F27,IF(cal!$S$7=7,SW!F27,IF(cal!$S$7=8,TS!F27,IF(cal!$S$7=9,ExtraTaal1!F27,IF(cal!$S$7=10,ExtraTaal2!F27,IF(cal!$S$7=11,ExtraTaal3!F27,)))))))))))</f>
        <v>0</v>
      </c>
      <c r="H28" s="357">
        <f>IF($S$7=1,NL!G27,IF(cal!$S$7=2,EN!G27,IF(cal!$S$7=3,DE!G27,IF(cal!$S$7=4,FR!G27,IF(cal!$S$7=5,NR!G27,IF(cal!$S$7=6,SP!G27,IF(cal!$S$7=7,SW!G27,IF(cal!$S$7=8,TS!G27,IF(cal!$S$7=9,ExtraTaal1!G27,IF(cal!$S$7=10,ExtraTaal2!G27,IF(cal!$S$7=11,ExtraTaal3!G27,)))))))))))</f>
        <v>0</v>
      </c>
      <c r="I28" s="357">
        <f>IF($S$7=1,NL!H27,IF(cal!$S$7=2,EN!H27,IF(cal!$S$7=3,DE!H27,IF(cal!$S$7=4,FR!H27,IF(cal!$S$7=5,NR!H27,IF(cal!$S$7=6,SP!H27,IF(cal!$S$7=7,SW!H27,IF(cal!$S$7=8,TS!H27,IF(cal!$S$7=9,ExtraTaal1!H27,IF(cal!$S$7=10,ExtraTaal2!H27,IF(cal!$S$7=11,ExtraTaal3!H27,)))))))))))</f>
        <v>0</v>
      </c>
      <c r="J28" s="357">
        <f>IF($S$7=1,NL!I27,IF(cal!$S$7=2,EN!I27,IF(cal!$S$7=3,DE!I27,IF(cal!$S$7=4,FR!I27,IF(cal!$S$7=5,NR!I27,IF(cal!$S$7=6,SP!I27,IF(cal!$S$7=7,SW!I27,IF(cal!$S$7=8,TS!I27,IF(cal!$S$7=9,ExtraTaal1!I27,IF(cal!$S$7=10,ExtraTaal2!I27,IF(cal!$S$7=11,ExtraTaal3!I27,)))))))))))</f>
        <v>0</v>
      </c>
      <c r="K28" s="357">
        <f>IF($S$7=1,NL!J27,IF(cal!$S$7=2,EN!J27,IF(cal!$S$7=3,DE!J27,IF(cal!$S$7=4,FR!J27,IF(cal!$S$7=5,NR!J27,IF(cal!$S$7=6,SP!J27,IF(cal!$S$7=7,SW!J27,IF(cal!$S$7=8,TS!J27,IF(cal!$S$7=9,ExtraTaal1!J27,IF(cal!$S$7=10,ExtraTaal2!J27,IF(cal!$S$7=11,ExtraTaal3!J27,)))))))))))</f>
        <v>0</v>
      </c>
      <c r="L28" s="357">
        <f>IF($S$7=1,NL!K27,IF(cal!$S$7=2,EN!K27,IF(cal!$S$7=3,DE!K27,IF(cal!$S$7=4,FR!K27,IF(cal!$S$7=5,NR!K27,IF(cal!$S$7=6,SP!K27,IF(cal!$S$7=7,SW!K27,IF(cal!$S$7=8,TS!K27,IF(cal!$S$7=9,ExtraTaal1!K27,IF(cal!$S$7=10,ExtraTaal2!K27,IF(cal!$S$7=11,ExtraTaal3!K27,)))))))))))</f>
        <v>0</v>
      </c>
      <c r="M28" s="357">
        <f>IF($S$7=1,NL!L27,IF(cal!$S$7=2,EN!L27,IF(cal!$S$7=3,DE!L27,IF(cal!$S$7=4,FR!L27,IF(cal!$S$7=5,NR!L27,IF(cal!$S$7=6,SP!L27,IF(cal!$S$7=7,SW!L27,IF(cal!$S$7=8,TS!L27,IF(cal!$S$7=9,ExtraTaal1!L27,IF(cal!$S$7=10,ExtraTaal2!L27,IF(cal!$S$7=11,ExtraTaal3!L27,)))))))))))</f>
        <v>0</v>
      </c>
      <c r="N28" s="357">
        <f>IF($S$7=1,NL!M27,IF(cal!$S$7=2,EN!M27,IF(cal!$S$7=3,DE!M27,IF(cal!$S$7=4,FR!M27,IF(cal!$S$7=5,NR!M27,IF(cal!$S$7=6,SP!M27,IF(cal!$S$7=7,SW!M27,IF(cal!$S$7=8,TS!M27,IF(cal!$S$7=9,ExtraTaal1!M27,IF(cal!$S$7=10,ExtraTaal2!M27,IF(cal!$S$7=11,ExtraTaal3!M27,)))))))))))</f>
        <v>0</v>
      </c>
      <c r="O28" s="357">
        <f>IF($S$7=1,NL!N27,IF(cal!$S$7=2,EN!N27,IF(cal!$S$7=3,DE!N27,IF(cal!$S$7=4,FR!N27,IF(cal!$S$7=5,NR!N27,IF(cal!$S$7=6,SP!N27,IF(cal!$S$7=7,SW!N27,IF(cal!$S$7=8,TS!N27,IF(cal!$S$7=9,ExtraTaal1!N27,IF(cal!$S$7=10,ExtraTaal2!N27,IF(cal!$S$7=11,ExtraTaal3!N27,)))))))))))</f>
        <v>0</v>
      </c>
      <c r="P28" s="358">
        <f>IF($S$7=1,NL!O27,IF(cal!$S$7=2,EN!O27,IF(cal!$S$7=3,DE!O27,IF(cal!$S$7=4,FR!O27,IF(cal!$S$7=5,NR!O27,IF(cal!$S$7=6,SP!O27,IF(cal!$S$7=7,SW!O27,IF(cal!$S$7=8,TS!O27,IF(cal!$S$7=9,ExtraTaal1!O27,IF(cal!$S$7=10,ExtraTaal2!O27,IF(cal!$S$7=11,ExtraTaal3!O27,)))))))))))</f>
        <v>0</v>
      </c>
      <c r="Q28" s="198" t="s">
        <v>11</v>
      </c>
      <c r="R28" s="127" t="str">
        <f t="shared" si="2"/>
        <v>n-value</v>
      </c>
      <c r="S28" s="128" t="s">
        <v>11</v>
      </c>
      <c r="T28" s="127" t="s">
        <v>11</v>
      </c>
      <c r="U28" s="79" t="s">
        <v>11</v>
      </c>
      <c r="V28" s="79" t="s">
        <v>11</v>
      </c>
      <c r="W28" s="182"/>
      <c r="X28" s="144" t="str">
        <f t="shared" si="6"/>
        <v>H</v>
      </c>
      <c r="Y28" s="155">
        <v>6</v>
      </c>
      <c r="Z28" s="144" t="str">
        <f t="shared" si="7"/>
        <v>B</v>
      </c>
      <c r="AA28" s="155">
        <f>IF($X$16=1,AH28,IF($X$16=2,AT28,IF($X$16=3,BS28,IF($X$16=4,BL28,IF($X$16=5,CH28,IF($X$16=6,CA28,IF($X$16=7,BE28,)))))))</f>
        <v>14</v>
      </c>
      <c r="AB28" s="144" t="str">
        <f t="shared" si="9"/>
        <v>L</v>
      </c>
      <c r="AC28" s="147">
        <f t="shared" si="10"/>
        <v>95</v>
      </c>
      <c r="AD28" s="146">
        <f t="shared" si="11"/>
        <v>65</v>
      </c>
      <c r="AE28" s="144" t="s">
        <v>61</v>
      </c>
      <c r="AF28" s="145">
        <f>AF22</f>
        <v>6</v>
      </c>
      <c r="AG28" s="144" t="s">
        <v>62</v>
      </c>
      <c r="AH28" s="145">
        <f>AH22</f>
        <v>14</v>
      </c>
      <c r="AI28" s="144" t="s">
        <v>63</v>
      </c>
      <c r="AJ28" s="285">
        <f>95*IF($X$4=1,1,IF($X$4=2,1/2.54))</f>
        <v>95</v>
      </c>
      <c r="AK28" s="269">
        <v>65</v>
      </c>
      <c r="AL28" s="284">
        <v>95</v>
      </c>
      <c r="AM28" s="282">
        <f>((AN28*(AL28^AP28)*(($AJ$28-19.5)/100)*2)+AO28*(AL28^2))*0.0098</f>
        <v>0.41083257292528919</v>
      </c>
      <c r="AN28" s="282">
        <v>6.5250871001174002E-3</v>
      </c>
      <c r="AO28" s="282">
        <v>5.7852740858429998E-4</v>
      </c>
      <c r="AP28" s="283">
        <v>1.8056661148752</v>
      </c>
    </row>
    <row r="29" spans="2:42" ht="15" x14ac:dyDescent="0.25">
      <c r="B29" s="70">
        <v>0.2</v>
      </c>
      <c r="C29" s="71">
        <v>2</v>
      </c>
      <c r="D29" s="72">
        <f>(X29*($T$11^$Q29))*Watts*CF_Altit</f>
        <v>199</v>
      </c>
      <c r="E29" s="86">
        <f>ROUND(((D29/Watts)/(($S$9-$S$10)*1.163))*$E$14,IF($X$4=1,0,IF($X$4=2,2)))</f>
        <v>17</v>
      </c>
      <c r="F29" s="74">
        <f>(IF($X$4=1,AM29,IF($X$4=2,AM29*0.334552563)))</f>
        <v>2.5487791512859199E-2</v>
      </c>
      <c r="G29" s="73"/>
      <c r="H29" s="73"/>
      <c r="I29" s="86"/>
      <c r="J29" s="106"/>
      <c r="K29" s="85">
        <f>L29-8</f>
        <v>13.899999999999999</v>
      </c>
      <c r="L29" s="80">
        <f t="shared" ref="L29:M33" si="16">AB29</f>
        <v>21.9</v>
      </c>
      <c r="M29" s="75">
        <f t="shared" si="16"/>
        <v>0.54</v>
      </c>
      <c r="N29" s="90">
        <f>AD29*Cubics</f>
        <v>26</v>
      </c>
      <c r="O29" s="240">
        <f>((($D29/Watts)/(((p_atm*0.028964)/(8.31447*(20+273.15)))*(($N29/3600)/Cubics)*(1005+1870*((0.622)/(((p_atm)/($E$12*Pvs_Heat_in))-1)))))+Tl_heat)*Celc1+Celc2</f>
        <v>42.466504994665044</v>
      </c>
      <c r="P29" s="241">
        <f>(Tl_cool-(($G29/Watts)/(1006*$N29*kgss)))*Celc1+Celc2</f>
        <v>0</v>
      </c>
      <c r="Q29" s="210">
        <v>1</v>
      </c>
      <c r="R29" s="127">
        <f t="shared" si="2"/>
        <v>0.6</v>
      </c>
      <c r="S29" s="127">
        <v>0.6</v>
      </c>
      <c r="T29" s="127">
        <v>1.1599999999999999</v>
      </c>
      <c r="U29" s="127">
        <v>0.78069999999999995</v>
      </c>
      <c r="V29" s="152">
        <v>0.87660000000000005</v>
      </c>
      <c r="W29" s="182" t="e">
        <f>(H29-G29)/H29</f>
        <v>#DIV/0!</v>
      </c>
      <c r="X29" s="132">
        <f t="shared" si="6"/>
        <v>199</v>
      </c>
      <c r="Y29" s="133" t="str">
        <f>IF($X$16=1,AF29,IF($X$16=2,AR29,IF($X$16=3,BQ29,IF($X$16=4,BJ29,IF($X$16=5,CF29,IF($X$16=6,BY29,IF($X$16=7,BC29,)))))))</f>
        <v>a</v>
      </c>
      <c r="Z29" s="134">
        <f t="shared" si="7"/>
        <v>97</v>
      </c>
      <c r="AA29" s="133" t="str">
        <f t="shared" si="8"/>
        <v>a</v>
      </c>
      <c r="AB29" s="134">
        <f t="shared" si="9"/>
        <v>21.9</v>
      </c>
      <c r="AC29" s="134">
        <f t="shared" si="10"/>
        <v>0.54</v>
      </c>
      <c r="AD29" s="134">
        <f t="shared" si="11"/>
        <v>26</v>
      </c>
      <c r="AE29" s="132">
        <v>199</v>
      </c>
      <c r="AF29" s="133" t="s">
        <v>49</v>
      </c>
      <c r="AG29" s="134">
        <v>97</v>
      </c>
      <c r="AH29" s="133" t="s">
        <v>49</v>
      </c>
      <c r="AI29" s="135">
        <v>21.9</v>
      </c>
      <c r="AJ29" s="135">
        <v>0.54</v>
      </c>
      <c r="AK29" s="134">
        <v>26</v>
      </c>
      <c r="AL29" s="265">
        <f>((D29/Watts)/(($S$9-$S$10)*1.163))</f>
        <v>17.110920034393807</v>
      </c>
      <c r="AM29" s="134">
        <f>((AN29*(AL29^AP29)*(($AL$34-19.5)/100)*2)+AO29*(AL29^2))*0.0098</f>
        <v>2.5487791512859199E-2</v>
      </c>
      <c r="AN29" s="134">
        <v>6.5250871001174002E-3</v>
      </c>
      <c r="AO29" s="134">
        <v>5.7852740858429998E-4</v>
      </c>
      <c r="AP29" s="136">
        <v>1.8056661148752</v>
      </c>
    </row>
    <row r="30" spans="2:42" ht="15" x14ac:dyDescent="0.25">
      <c r="B30" s="70">
        <v>0.4</v>
      </c>
      <c r="C30" s="71">
        <v>4</v>
      </c>
      <c r="D30" s="72">
        <f>(X30*($T$11^$Q30))*Watts*CF_Altit</f>
        <v>523</v>
      </c>
      <c r="E30" s="86">
        <f>ROUND(((D30/Watts)/(($S$9-$S$10)*1.163))*$E$14,IF($X$4=1,0,IF($X$4=2,2)))</f>
        <v>45</v>
      </c>
      <c r="F30" s="74">
        <f t="shared" ref="F30:F33" si="17">(IF($X$4=1,AM30,IF($X$4=2,AM30*0.334552563)))</f>
        <v>0.14787039100998542</v>
      </c>
      <c r="G30" s="73"/>
      <c r="H30" s="73"/>
      <c r="I30" s="86"/>
      <c r="J30" s="106"/>
      <c r="K30" s="85">
        <f>L30-8</f>
        <v>15.2</v>
      </c>
      <c r="L30" s="80">
        <f t="shared" si="16"/>
        <v>23.2</v>
      </c>
      <c r="M30" s="75">
        <f t="shared" si="16"/>
        <v>0.95</v>
      </c>
      <c r="N30" s="90">
        <f>AD30*Cubics</f>
        <v>41</v>
      </c>
      <c r="O30" s="242">
        <f>((($D30/Watts)/(((p_atm*0.028964)/(8.31447*(20+273.15)))*(($N30/3600)/Cubics)*(1005+1870*((0.622)/(((p_atm)/($E$12*Pvs_Heat_in))-1)))))+Tl_heat)*Celc1+Celc2</f>
        <v>57.44325712923829</v>
      </c>
      <c r="P30" s="243">
        <f>(Tl_cool-(($G30/Watts)/(1006*$N30*kgss)))*Celc1+Celc2</f>
        <v>0</v>
      </c>
      <c r="Q30" s="210">
        <v>1</v>
      </c>
      <c r="R30" s="127">
        <f t="shared" si="2"/>
        <v>0.68</v>
      </c>
      <c r="S30" s="127">
        <v>0.68</v>
      </c>
      <c r="T30" s="127">
        <v>1.04</v>
      </c>
      <c r="U30" s="127">
        <v>0.85870000000000002</v>
      </c>
      <c r="V30" s="152">
        <v>0.87749999999999995</v>
      </c>
      <c r="W30" s="182" t="e">
        <f>(H30-G30)/H30</f>
        <v>#DIV/0!</v>
      </c>
      <c r="X30" s="137">
        <f t="shared" si="6"/>
        <v>523</v>
      </c>
      <c r="Y30" s="138">
        <f>IF($X$16=1,AF30,IF($X$16=2,AR30,IF($X$16=3,BQ30,IF($X$16=4,BJ30,IF($X$16=5,CF30,IF($X$16=6,BY30,IF($X$16=7,BC30,)))))))</f>
        <v>5.6054747775989447E-4</v>
      </c>
      <c r="Z30" s="138">
        <f t="shared" si="7"/>
        <v>212</v>
      </c>
      <c r="AA30" s="138">
        <f t="shared" si="8"/>
        <v>5.6054747775989447E-4</v>
      </c>
      <c r="AB30" s="138">
        <f t="shared" si="9"/>
        <v>23.2</v>
      </c>
      <c r="AC30" s="138">
        <f t="shared" si="10"/>
        <v>0.95</v>
      </c>
      <c r="AD30" s="138">
        <f t="shared" si="11"/>
        <v>41</v>
      </c>
      <c r="AE30" s="137">
        <v>523</v>
      </c>
      <c r="AF30" s="138">
        <v>5.6054747775989447E-4</v>
      </c>
      <c r="AG30" s="138">
        <v>212</v>
      </c>
      <c r="AH30" s="138">
        <f>AF30</f>
        <v>5.6054747775989447E-4</v>
      </c>
      <c r="AI30" s="139">
        <v>23.2</v>
      </c>
      <c r="AJ30" s="139">
        <v>0.95</v>
      </c>
      <c r="AK30" s="138">
        <v>41</v>
      </c>
      <c r="AL30" s="265">
        <f>((D30/Watts)/(($S$9-$S$10)*1.163))</f>
        <v>44.969905417024933</v>
      </c>
      <c r="AM30" s="134">
        <f t="shared" ref="AM30:AM33" si="18">((AN30*(AL30^AP30)*(($AL$34-19.5)/100)*2)+AO30*(AL30^2))*0.0098</f>
        <v>0.14787039100998542</v>
      </c>
      <c r="AN30" s="134">
        <v>6.5250871001174002E-3</v>
      </c>
      <c r="AO30" s="134">
        <v>5.7852740858429998E-4</v>
      </c>
      <c r="AP30" s="136">
        <v>1.8056661148752</v>
      </c>
    </row>
    <row r="31" spans="2:42" ht="15" x14ac:dyDescent="0.25">
      <c r="B31" s="70">
        <v>0.6</v>
      </c>
      <c r="C31" s="71">
        <v>6</v>
      </c>
      <c r="D31" s="72">
        <f>(X31*($T$11^$Q31))*Watts*CF_Altit</f>
        <v>1053</v>
      </c>
      <c r="E31" s="86">
        <f>ROUND(((D31/Watts)/(($S$9-$S$10)*1.163))*$E$14,IF($X$4=1,0,IF($X$4=2,2)))</f>
        <v>91</v>
      </c>
      <c r="F31" s="74">
        <f t="shared" si="17"/>
        <v>0.52911427842315595</v>
      </c>
      <c r="G31" s="73"/>
      <c r="H31" s="73"/>
      <c r="I31" s="86"/>
      <c r="J31" s="106"/>
      <c r="K31" s="85">
        <f>L31-8</f>
        <v>26.4</v>
      </c>
      <c r="L31" s="80">
        <f t="shared" si="16"/>
        <v>34.4</v>
      </c>
      <c r="M31" s="75">
        <f t="shared" si="16"/>
        <v>1.62</v>
      </c>
      <c r="N31" s="90">
        <f>AD31*Cubics</f>
        <v>67</v>
      </c>
      <c r="O31" s="242">
        <f>((($D31/Watts)/(((p_atm*0.028964)/(8.31447*(20+273.15)))*(($N31/3600)/Cubics)*(1005+1870*((0.622)/(((p_atm)/($E$12*Pvs_Heat_in))-1)))))+Tl_heat)*Celc1+Celc2</f>
        <v>66.132751349579209</v>
      </c>
      <c r="P31" s="243">
        <f>(Tl_cool-(($G31/Watts)/(1006*$N31*kgss)))*Celc1+Celc2</f>
        <v>0</v>
      </c>
      <c r="Q31" s="210">
        <v>1</v>
      </c>
      <c r="R31" s="127">
        <f t="shared" si="2"/>
        <v>0.79</v>
      </c>
      <c r="S31" s="127">
        <v>0.79</v>
      </c>
      <c r="T31" s="127">
        <v>0.95</v>
      </c>
      <c r="U31" s="127">
        <v>0.8831</v>
      </c>
      <c r="V31" s="152">
        <v>0.88200000000000001</v>
      </c>
      <c r="W31" s="182" t="e">
        <f>(H31-G31)/H31</f>
        <v>#DIV/0!</v>
      </c>
      <c r="X31" s="137">
        <f t="shared" si="6"/>
        <v>1053</v>
      </c>
      <c r="Y31" s="133" t="str">
        <f>IF($X$16=1,AF31,IF($X$16=2,AR31,IF($X$16=3,BQ31,IF($X$16=4,BJ31,IF($X$16=5,CF31,IF($X$16=6,BY31,IF($X$16=7,BC31,)))))))</f>
        <v>b</v>
      </c>
      <c r="Z31" s="138">
        <f t="shared" si="7"/>
        <v>336</v>
      </c>
      <c r="AA31" s="133" t="str">
        <f t="shared" si="8"/>
        <v>b</v>
      </c>
      <c r="AB31" s="138">
        <f t="shared" si="9"/>
        <v>34.4</v>
      </c>
      <c r="AC31" s="138">
        <f t="shared" si="10"/>
        <v>1.62</v>
      </c>
      <c r="AD31" s="138">
        <f t="shared" si="11"/>
        <v>67</v>
      </c>
      <c r="AE31" s="137">
        <v>1053</v>
      </c>
      <c r="AF31" s="133" t="s">
        <v>50</v>
      </c>
      <c r="AG31" s="138">
        <v>336</v>
      </c>
      <c r="AH31" s="133" t="s">
        <v>50</v>
      </c>
      <c r="AI31" s="139">
        <v>34.4</v>
      </c>
      <c r="AJ31" s="139">
        <v>1.62</v>
      </c>
      <c r="AK31" s="138">
        <v>67</v>
      </c>
      <c r="AL31" s="265">
        <f>((D31/Watts)/(($S$9-$S$10)*1.163))</f>
        <v>90.541702493551156</v>
      </c>
      <c r="AM31" s="134">
        <f t="shared" si="18"/>
        <v>0.52911427842315595</v>
      </c>
      <c r="AN31" s="134">
        <v>6.5250871001174002E-3</v>
      </c>
      <c r="AO31" s="134">
        <v>5.7852740858429998E-4</v>
      </c>
      <c r="AP31" s="136">
        <v>1.8056661148752</v>
      </c>
    </row>
    <row r="32" spans="2:42" ht="15" x14ac:dyDescent="0.25">
      <c r="B32" s="70">
        <v>0.8</v>
      </c>
      <c r="C32" s="71">
        <v>8</v>
      </c>
      <c r="D32" s="72">
        <f>(X32*($T$11^$Q32))*Watts*CF_Altit</f>
        <v>1403</v>
      </c>
      <c r="E32" s="86">
        <f>ROUND(((D32/Watts)/(($S$9-$S$10)*1.163))*$E$14,IF($X$4=1,0,IF($X$4=2,2)))</f>
        <v>121</v>
      </c>
      <c r="F32" s="74">
        <f t="shared" si="17"/>
        <v>0.89283420159553806</v>
      </c>
      <c r="G32" s="73"/>
      <c r="H32" s="73"/>
      <c r="I32" s="86"/>
      <c r="J32" s="106"/>
      <c r="K32" s="85">
        <f>L32-8</f>
        <v>37.200000000000003</v>
      </c>
      <c r="L32" s="80">
        <f t="shared" si="16"/>
        <v>45.2</v>
      </c>
      <c r="M32" s="75">
        <f t="shared" si="16"/>
        <v>2.65</v>
      </c>
      <c r="N32" s="90">
        <f>AD32*Cubics</f>
        <v>99</v>
      </c>
      <c r="O32" s="242">
        <f>((($D32/Watts)/(((p_atm*0.028964)/(8.31447*(20+273.15)))*(($N32/3600)/Cubics)*(1005+1870*((0.622)/(((p_atm)/($E$12*Pvs_Heat_in))-1)))))+Tl_heat)*Celc1+Celc2</f>
        <v>61.598556885203358</v>
      </c>
      <c r="P32" s="243">
        <f>(Tl_cool-(($G32/Watts)/(1006*$N32*kgss)))*Celc1+Celc2</f>
        <v>0</v>
      </c>
      <c r="Q32" s="210">
        <v>1</v>
      </c>
      <c r="R32" s="127">
        <f t="shared" si="2"/>
        <v>0.87</v>
      </c>
      <c r="S32" s="127">
        <v>0.87</v>
      </c>
      <c r="T32" s="79">
        <v>0.95</v>
      </c>
      <c r="U32" s="127">
        <v>0.85389999999999999</v>
      </c>
      <c r="V32" s="152">
        <v>0.89500000000000002</v>
      </c>
      <c r="W32" s="182" t="e">
        <f>(H32-G32)/H32</f>
        <v>#DIV/0!</v>
      </c>
      <c r="X32" s="137">
        <f t="shared" si="6"/>
        <v>1403</v>
      </c>
      <c r="Y32" s="138">
        <f>IF($X$16=1,AF32,IF($X$16=2,AR32,IF($X$16=3,BQ32,IF($X$16=4,BJ32,IF($X$16=5,CF32,IF($X$16=6,BY32,IF($X$16=7,BC32,)))))))</f>
        <v>1.8235155847906248</v>
      </c>
      <c r="Z32" s="138">
        <f t="shared" si="7"/>
        <v>465</v>
      </c>
      <c r="AA32" s="138">
        <f t="shared" si="8"/>
        <v>1.8235155847906248</v>
      </c>
      <c r="AB32" s="138">
        <f t="shared" si="9"/>
        <v>45.2</v>
      </c>
      <c r="AC32" s="138">
        <f t="shared" si="10"/>
        <v>2.65</v>
      </c>
      <c r="AD32" s="138">
        <f t="shared" si="11"/>
        <v>99</v>
      </c>
      <c r="AE32" s="137">
        <v>1403</v>
      </c>
      <c r="AF32" s="138">
        <v>1.8235155847906248</v>
      </c>
      <c r="AG32" s="138">
        <v>465</v>
      </c>
      <c r="AH32" s="138">
        <f>AF32</f>
        <v>1.8235155847906248</v>
      </c>
      <c r="AI32" s="139">
        <v>45.2</v>
      </c>
      <c r="AJ32" s="139">
        <v>2.65</v>
      </c>
      <c r="AK32" s="138">
        <v>99</v>
      </c>
      <c r="AL32" s="265">
        <f>((D32/Watts)/(($S$9-$S$10)*1.163))</f>
        <v>120.63628546861564</v>
      </c>
      <c r="AM32" s="134">
        <f t="shared" si="18"/>
        <v>0.89283420159553806</v>
      </c>
      <c r="AN32" s="134">
        <v>6.5250871001174002E-3</v>
      </c>
      <c r="AO32" s="134">
        <v>5.7852740858429998E-4</v>
      </c>
      <c r="AP32" s="136">
        <v>1.8056661148752</v>
      </c>
    </row>
    <row r="33" spans="2:179" ht="15" x14ac:dyDescent="0.25">
      <c r="B33" s="70">
        <v>1</v>
      </c>
      <c r="C33" s="71">
        <v>10</v>
      </c>
      <c r="D33" s="72">
        <f>(X33*($T$11^$Q33))*Watts*CF_Altit</f>
        <v>1649</v>
      </c>
      <c r="E33" s="86">
        <f>ROUND(((D33/Watts)/(($S$9-$S$10)*1.163))*$E$14,IF($X$4=1,0,IF($X$4=2,2)))</f>
        <v>142</v>
      </c>
      <c r="F33" s="74">
        <f t="shared" si="17"/>
        <v>1.1987811623016493</v>
      </c>
      <c r="G33" s="73"/>
      <c r="H33" s="73"/>
      <c r="I33" s="86"/>
      <c r="J33" s="106"/>
      <c r="K33" s="85">
        <f>L33-8</f>
        <v>41.8</v>
      </c>
      <c r="L33" s="80">
        <f t="shared" si="16"/>
        <v>49.8</v>
      </c>
      <c r="M33" s="75">
        <f t="shared" si="16"/>
        <v>4.1399999999999997</v>
      </c>
      <c r="N33" s="90">
        <f>AD33*Cubics</f>
        <v>130</v>
      </c>
      <c r="O33" s="242">
        <f>((($D33/Watts)/(((p_atm*0.028964)/(8.31447*(20+273.15)))*(($N33/3600)/Cubics)*(1005+1870*((0.622)/(((p_atm)/($E$12*Pvs_Heat_in))-1)))))+Tl_heat)*Celc1+Celc2</f>
        <v>57.23343390573131</v>
      </c>
      <c r="P33" s="243">
        <f>(Tl_cool-(($G33/Watts)/(1006*$N33*kgss)))*Celc1+Celc2</f>
        <v>0</v>
      </c>
      <c r="Q33" s="210">
        <v>1</v>
      </c>
      <c r="R33" s="127">
        <f t="shared" si="2"/>
        <v>0.91</v>
      </c>
      <c r="S33" s="127">
        <v>0.91</v>
      </c>
      <c r="T33" s="127">
        <v>0.98</v>
      </c>
      <c r="U33" s="127">
        <v>0.77110000000000001</v>
      </c>
      <c r="V33" s="152">
        <v>0.91110000000000002</v>
      </c>
      <c r="W33" s="182" t="e">
        <f>(H33-G33)/H33</f>
        <v>#DIV/0!</v>
      </c>
      <c r="X33" s="140">
        <f t="shared" si="6"/>
        <v>1649</v>
      </c>
      <c r="Y33" s="150">
        <f>IF($X$16=1,AF33,IF($X$16=2,AR33,IF($X$16=3,BQ33,IF($X$16=4,BJ33,IF($X$16=5,CF33,IF($X$16=6,BY33,IF($X$16=7,BC33,)))))))</f>
        <v>0</v>
      </c>
      <c r="Z33" s="142">
        <f t="shared" si="7"/>
        <v>598</v>
      </c>
      <c r="AA33" s="150">
        <f t="shared" si="8"/>
        <v>0</v>
      </c>
      <c r="AB33" s="142">
        <f t="shared" si="9"/>
        <v>49.8</v>
      </c>
      <c r="AC33" s="142">
        <f t="shared" si="10"/>
        <v>4.1399999999999997</v>
      </c>
      <c r="AD33" s="142">
        <f t="shared" si="11"/>
        <v>130</v>
      </c>
      <c r="AE33" s="140">
        <v>1649</v>
      </c>
      <c r="AF33" s="141"/>
      <c r="AG33" s="142">
        <v>598</v>
      </c>
      <c r="AH33" s="141"/>
      <c r="AI33" s="143">
        <v>49.8</v>
      </c>
      <c r="AJ33" s="143">
        <v>4.1399999999999997</v>
      </c>
      <c r="AK33" s="142">
        <v>130</v>
      </c>
      <c r="AL33" s="265">
        <f>((D33/Watts)/(($S$9-$S$10)*1.163))</f>
        <v>141.78847807394669</v>
      </c>
      <c r="AM33" s="134">
        <f t="shared" si="18"/>
        <v>1.1987811623016493</v>
      </c>
      <c r="AN33" s="134">
        <v>6.5250871001174002E-3</v>
      </c>
      <c r="AO33" s="134">
        <v>5.7852740858429998E-4</v>
      </c>
      <c r="AP33" s="136">
        <v>1.8056661148752</v>
      </c>
    </row>
    <row r="34" spans="2:179" ht="15" x14ac:dyDescent="0.25">
      <c r="B34" s="356" t="str">
        <f>IF($S$7=1,NL!A33,IF(cal!$S$7=2,EN!A33,IF(cal!$S$7=3,DE!A33,IF(cal!$S$7=4,FR!A33,IF(cal!$S$7=5,NR!A33,IF(cal!$S$7=6,SP!A33,IF(cal!$S$7=7,SW!A33,IF(cal!$S$7=8,TS!A33,IF(cal!$S$7=9,ExtraTaal1!A33,IF(cal!$S$7=10,ExtraTaal2!A33,IF(cal!$S$7=11,ExtraTaal3!A33,)))))))))))</f>
        <v>Micro Canal height 6 cm width 14 cm length 165 cm (Type 4)</v>
      </c>
      <c r="C34" s="357">
        <f>IF($S$7=1,NL!B33,IF(cal!$S$7=2,EN!B33,IF(cal!$S$7=3,DE!B33,IF(cal!$S$7=4,FR!B33,IF(cal!$S$7=5,NR!B33,IF(cal!$S$7=6,SP!B33,IF(cal!$S$7=7,SW!B33,IF(cal!$S$7=8,TS!B33,IF(cal!$S$7=9,ExtraTaal1!B33,IF(cal!$S$7=10,ExtraTaal2!B33,IF(cal!$S$7=11,ExtraTaal3!B33,)))))))))))</f>
        <v>0</v>
      </c>
      <c r="D34" s="357">
        <f>IF($S$7=1,NL!C33,IF(cal!$S$7=2,EN!C33,IF(cal!$S$7=3,DE!C33,IF(cal!$S$7=4,FR!C33,IF(cal!$S$7=5,NR!C33,IF(cal!$S$7=6,SP!C33,IF(cal!$S$7=7,SW!C33,IF(cal!$S$7=8,TS!C33,IF(cal!$S$7=9,ExtraTaal1!C33,IF(cal!$S$7=10,ExtraTaal2!C33,IF(cal!$S$7=11,ExtraTaal3!C33,)))))))))))</f>
        <v>0</v>
      </c>
      <c r="E34" s="357">
        <f>IF($S$7=1,NL!D33,IF(cal!$S$7=2,EN!D33,IF(cal!$S$7=3,DE!D33,IF(cal!$S$7=4,FR!D33,IF(cal!$S$7=5,NR!D33,IF(cal!$S$7=6,SP!D33,IF(cal!$S$7=7,SW!D33,IF(cal!$S$7=8,TS!D33,IF(cal!$S$7=9,ExtraTaal1!D33,IF(cal!$S$7=10,ExtraTaal2!D33,IF(cal!$S$7=11,ExtraTaal3!D33,)))))))))))</f>
        <v>0</v>
      </c>
      <c r="F34" s="357">
        <f>IF($S$7=1,NL!E33,IF(cal!$S$7=2,EN!E33,IF(cal!$S$7=3,DE!E33,IF(cal!$S$7=4,FR!E33,IF(cal!$S$7=5,NR!E33,IF(cal!$S$7=6,SP!E33,IF(cal!$S$7=7,SW!E33,IF(cal!$S$7=8,TS!E33,IF(cal!$S$7=9,ExtraTaal1!E33,IF(cal!$S$7=10,ExtraTaal2!E33,IF(cal!$S$7=11,ExtraTaal3!E33,)))))))))))</f>
        <v>0</v>
      </c>
      <c r="G34" s="357">
        <f>IF($S$7=1,NL!F33,IF(cal!$S$7=2,EN!F33,IF(cal!$S$7=3,DE!F33,IF(cal!$S$7=4,FR!F33,IF(cal!$S$7=5,NR!F33,IF(cal!$S$7=6,SP!F33,IF(cal!$S$7=7,SW!F33,IF(cal!$S$7=8,TS!F33,IF(cal!$S$7=9,ExtraTaal1!F33,IF(cal!$S$7=10,ExtraTaal2!F33,IF(cal!$S$7=11,ExtraTaal3!F33,)))))))))))</f>
        <v>0</v>
      </c>
      <c r="H34" s="357">
        <f>IF($S$7=1,NL!G33,IF(cal!$S$7=2,EN!G33,IF(cal!$S$7=3,DE!G33,IF(cal!$S$7=4,FR!G33,IF(cal!$S$7=5,NR!G33,IF(cal!$S$7=6,SP!G33,IF(cal!$S$7=7,SW!G33,IF(cal!$S$7=8,TS!G33,IF(cal!$S$7=9,ExtraTaal1!G33,IF(cal!$S$7=10,ExtraTaal2!G33,IF(cal!$S$7=11,ExtraTaal3!G33,)))))))))))</f>
        <v>0</v>
      </c>
      <c r="I34" s="357">
        <f>IF($S$7=1,NL!H33,IF(cal!$S$7=2,EN!H33,IF(cal!$S$7=3,DE!H33,IF(cal!$S$7=4,FR!H33,IF(cal!$S$7=5,NR!H33,IF(cal!$S$7=6,SP!H33,IF(cal!$S$7=7,SW!H33,IF(cal!$S$7=8,TS!H33,IF(cal!$S$7=9,ExtraTaal1!H33,IF(cal!$S$7=10,ExtraTaal2!H33,IF(cal!$S$7=11,ExtraTaal3!H33,)))))))))))</f>
        <v>0</v>
      </c>
      <c r="J34" s="357">
        <f>IF($S$7=1,NL!I33,IF(cal!$S$7=2,EN!I33,IF(cal!$S$7=3,DE!I33,IF(cal!$S$7=4,FR!I33,IF(cal!$S$7=5,NR!I33,IF(cal!$S$7=6,SP!I33,IF(cal!$S$7=7,SW!I33,IF(cal!$S$7=8,TS!I33,IF(cal!$S$7=9,ExtraTaal1!I33,IF(cal!$S$7=10,ExtraTaal2!I33,IF(cal!$S$7=11,ExtraTaal3!I33,)))))))))))</f>
        <v>0</v>
      </c>
      <c r="K34" s="357">
        <f>IF($S$7=1,NL!J33,IF(cal!$S$7=2,EN!J33,IF(cal!$S$7=3,DE!J33,IF(cal!$S$7=4,FR!J33,IF(cal!$S$7=5,NR!J33,IF(cal!$S$7=6,SP!J33,IF(cal!$S$7=7,SW!J33,IF(cal!$S$7=8,TS!J33,IF(cal!$S$7=9,ExtraTaal1!J33,IF(cal!$S$7=10,ExtraTaal2!J33,IF(cal!$S$7=11,ExtraTaal3!J33,)))))))))))</f>
        <v>0</v>
      </c>
      <c r="L34" s="357">
        <f>IF($S$7=1,NL!K33,IF(cal!$S$7=2,EN!K33,IF(cal!$S$7=3,DE!K33,IF(cal!$S$7=4,FR!K33,IF(cal!$S$7=5,NR!K33,IF(cal!$S$7=6,SP!K33,IF(cal!$S$7=7,SW!K33,IF(cal!$S$7=8,TS!K33,IF(cal!$S$7=9,ExtraTaal1!K33,IF(cal!$S$7=10,ExtraTaal2!K33,IF(cal!$S$7=11,ExtraTaal3!K33,)))))))))))</f>
        <v>0</v>
      </c>
      <c r="M34" s="357">
        <f>IF($S$7=1,NL!L33,IF(cal!$S$7=2,EN!L33,IF(cal!$S$7=3,DE!L33,IF(cal!$S$7=4,FR!L33,IF(cal!$S$7=5,NR!L33,IF(cal!$S$7=6,SP!L33,IF(cal!$S$7=7,SW!L33,IF(cal!$S$7=8,TS!L33,IF(cal!$S$7=9,ExtraTaal1!L33,IF(cal!$S$7=10,ExtraTaal2!L33,IF(cal!$S$7=11,ExtraTaal3!L33,)))))))))))</f>
        <v>0</v>
      </c>
      <c r="N34" s="357">
        <f>IF($S$7=1,NL!M33,IF(cal!$S$7=2,EN!M33,IF(cal!$S$7=3,DE!M33,IF(cal!$S$7=4,FR!M33,IF(cal!$S$7=5,NR!M33,IF(cal!$S$7=6,SP!M33,IF(cal!$S$7=7,SW!M33,IF(cal!$S$7=8,TS!M33,IF(cal!$S$7=9,ExtraTaal1!M33,IF(cal!$S$7=10,ExtraTaal2!M33,IF(cal!$S$7=11,ExtraTaal3!M33,)))))))))))</f>
        <v>0</v>
      </c>
      <c r="O34" s="357">
        <f>IF($S$7=1,NL!N33,IF(cal!$S$7=2,EN!N33,IF(cal!$S$7=3,DE!N33,IF(cal!$S$7=4,FR!N33,IF(cal!$S$7=5,NR!N33,IF(cal!$S$7=6,SP!N33,IF(cal!$S$7=7,SW!N33,IF(cal!$S$7=8,TS!N33,IF(cal!$S$7=9,ExtraTaal1!N33,IF(cal!$S$7=10,ExtraTaal2!N33,IF(cal!$S$7=11,ExtraTaal3!N33,)))))))))))</f>
        <v>0</v>
      </c>
      <c r="P34" s="358">
        <f>IF($S$7=1,NL!O33,IF(cal!$S$7=2,EN!O33,IF(cal!$S$7=3,DE!O33,IF(cal!$S$7=4,FR!O33,IF(cal!$S$7=5,NR!O33,IF(cal!$S$7=6,SP!O33,IF(cal!$S$7=7,SW!O33,IF(cal!$S$7=8,TS!O33,IF(cal!$S$7=9,ExtraTaal1!O33,IF(cal!$S$7=10,ExtraTaal2!O33,IF(cal!$S$7=11,ExtraTaal3!O33,)))))))))))</f>
        <v>0</v>
      </c>
      <c r="Q34" s="198" t="s">
        <v>11</v>
      </c>
      <c r="R34" s="127" t="str">
        <f t="shared" si="2"/>
        <v>n-value</v>
      </c>
      <c r="S34" s="128" t="s">
        <v>11</v>
      </c>
      <c r="T34" s="127" t="s">
        <v>11</v>
      </c>
      <c r="U34" s="79" t="s">
        <v>11</v>
      </c>
      <c r="V34" s="79" t="s">
        <v>11</v>
      </c>
      <c r="W34" s="182"/>
      <c r="X34" s="144" t="str">
        <f t="shared" si="6"/>
        <v>H</v>
      </c>
      <c r="Y34" s="155">
        <v>6</v>
      </c>
      <c r="Z34" s="144" t="str">
        <f t="shared" si="7"/>
        <v>B</v>
      </c>
      <c r="AA34" s="155">
        <f t="shared" si="8"/>
        <v>14</v>
      </c>
      <c r="AB34" s="144" t="str">
        <f t="shared" si="9"/>
        <v>L</v>
      </c>
      <c r="AC34" s="147">
        <f t="shared" si="10"/>
        <v>130</v>
      </c>
      <c r="AD34" s="146">
        <f t="shared" si="11"/>
        <v>100</v>
      </c>
      <c r="AE34" s="144" t="s">
        <v>61</v>
      </c>
      <c r="AF34" s="145">
        <f>AF28</f>
        <v>6</v>
      </c>
      <c r="AG34" s="144" t="s">
        <v>62</v>
      </c>
      <c r="AH34" s="145">
        <f>AH28</f>
        <v>14</v>
      </c>
      <c r="AI34" s="144" t="s">
        <v>63</v>
      </c>
      <c r="AJ34" s="285">
        <f>130*IF($X$4=1,1,IF($X$4=2,1/2.54))</f>
        <v>130</v>
      </c>
      <c r="AK34" s="269">
        <v>100</v>
      </c>
      <c r="AL34" s="284">
        <v>130</v>
      </c>
      <c r="AM34" s="282">
        <f>((AN34*(AL34^AP34)*(($AJ$34-19.5)/100)*2)+AO34*(AL34^2))*0.0098</f>
        <v>1.0232444335087001</v>
      </c>
      <c r="AN34" s="282">
        <v>6.5250871001174002E-3</v>
      </c>
      <c r="AO34" s="282">
        <v>5.7852740858429998E-4</v>
      </c>
      <c r="AP34" s="283">
        <v>1.8056661148752</v>
      </c>
    </row>
    <row r="35" spans="2:179" ht="15" x14ac:dyDescent="0.25">
      <c r="B35" s="70">
        <v>0.2</v>
      </c>
      <c r="C35" s="71">
        <v>2</v>
      </c>
      <c r="D35" s="72">
        <f>(X35*($T$11^$Q35))*Watts*CF_Altit</f>
        <v>268.65000000000003</v>
      </c>
      <c r="E35" s="86">
        <f>ROUND(((D35/Watts)/(($S$9-$S$10)*1.163))*$E$14,IF($X$4=1,0,IF($X$4=2,2)))</f>
        <v>23</v>
      </c>
      <c r="F35" s="74">
        <f>(IF($X$4=1,AM35,IF($X$4=2,AM35*0.334552563)))</f>
        <v>5.6966963176685495E-2</v>
      </c>
      <c r="G35" s="73"/>
      <c r="H35" s="73"/>
      <c r="I35" s="86"/>
      <c r="J35" s="106"/>
      <c r="K35" s="85">
        <f>L35-8</f>
        <v>17.3</v>
      </c>
      <c r="L35" s="80">
        <f t="shared" ref="L35:M39" si="19">AB35</f>
        <v>25.3</v>
      </c>
      <c r="M35" s="75">
        <f t="shared" si="19"/>
        <v>1.04</v>
      </c>
      <c r="N35" s="90">
        <f>AD35*Cubics</f>
        <v>36</v>
      </c>
      <c r="O35" s="240">
        <f>((($D35/Watts)/(((p_atm*0.028964)/(8.31447*(20+273.15)))*(($N35/3600)/Cubics)*(1005+1870*((0.622)/(((p_atm)/($E$12*Pvs_Heat_in))-1)))))+Tl_heat)*Celc1+Celc2</f>
        <v>41.904842369798416</v>
      </c>
      <c r="P35" s="241">
        <f>(Tl_cool-(($G35/Watts)/(1006*$N35*kgss)))*Celc1+Celc2</f>
        <v>0</v>
      </c>
      <c r="Q35" s="210">
        <v>1</v>
      </c>
      <c r="R35" s="127">
        <f t="shared" si="2"/>
        <v>0.6</v>
      </c>
      <c r="S35" s="127">
        <v>0.6</v>
      </c>
      <c r="T35" s="127">
        <v>1.1599999999999999</v>
      </c>
      <c r="U35" s="127">
        <v>0.78069999999999995</v>
      </c>
      <c r="V35" s="152">
        <v>0.87660000000000005</v>
      </c>
      <c r="W35" s="182" t="e">
        <f>(H35-G35)/H35</f>
        <v>#DIV/0!</v>
      </c>
      <c r="X35" s="132">
        <f t="shared" si="6"/>
        <v>268.65000000000003</v>
      </c>
      <c r="Y35" s="133" t="str">
        <f>IF($X$16=1,AF35,IF($X$16=2,AR35,IF($X$16=3,BQ35,IF($X$16=4,BJ35,IF($X$16=5,CF35,IF($X$16=6,BY35,IF($X$16=7,BC35,)))))))</f>
        <v>a</v>
      </c>
      <c r="Z35" s="134">
        <f t="shared" si="7"/>
        <v>132</v>
      </c>
      <c r="AA35" s="133" t="str">
        <f t="shared" si="8"/>
        <v>a</v>
      </c>
      <c r="AB35" s="134">
        <f t="shared" si="9"/>
        <v>25.3</v>
      </c>
      <c r="AC35" s="134">
        <f t="shared" si="10"/>
        <v>1.04</v>
      </c>
      <c r="AD35" s="134">
        <f t="shared" si="11"/>
        <v>36</v>
      </c>
      <c r="AE35" s="132">
        <f>AE29*($AK$40/$AK$34)</f>
        <v>268.65000000000003</v>
      </c>
      <c r="AF35" s="133" t="s">
        <v>49</v>
      </c>
      <c r="AG35" s="134">
        <v>132</v>
      </c>
      <c r="AH35" s="133" t="s">
        <v>49</v>
      </c>
      <c r="AI35" s="135">
        <v>25.3</v>
      </c>
      <c r="AJ35" s="135">
        <v>1.04</v>
      </c>
      <c r="AK35" s="134">
        <v>36</v>
      </c>
      <c r="AL35" s="265">
        <f>((D35/Watts)/(($S$9-$S$10)*1.163))</f>
        <v>23.099742046431643</v>
      </c>
      <c r="AM35" s="134">
        <f>((AN35*(AL35^AP35)*(($AL$40-19.5)/100)*2)+AO35*(AL35^2))*0.0098</f>
        <v>5.6966963176685495E-2</v>
      </c>
      <c r="AN35" s="134">
        <v>6.5250871001174002E-3</v>
      </c>
      <c r="AO35" s="134">
        <v>5.7852740858429998E-4</v>
      </c>
      <c r="AP35" s="136">
        <v>1.8056661148752</v>
      </c>
    </row>
    <row r="36" spans="2:179" ht="15" x14ac:dyDescent="0.25">
      <c r="B36" s="70">
        <v>0.4</v>
      </c>
      <c r="C36" s="71">
        <v>4</v>
      </c>
      <c r="D36" s="72">
        <f>(X36*($T$11^$Q36))*Watts*CF_Altit</f>
        <v>706.05000000000007</v>
      </c>
      <c r="E36" s="86">
        <f>ROUND(((D36/Watts)/(($S$9-$S$10)*1.163))*$E$14,IF($X$4=1,0,IF($X$4=2,2)))</f>
        <v>61</v>
      </c>
      <c r="F36" s="74">
        <f t="shared" ref="F36:F39" si="20">(IF($X$4=1,AM36,IF($X$4=2,AM36*0.334552563)))</f>
        <v>0.32969062642810371</v>
      </c>
      <c r="G36" s="73"/>
      <c r="H36" s="73"/>
      <c r="I36" s="86"/>
      <c r="J36" s="106"/>
      <c r="K36" s="85">
        <f>L36-8</f>
        <v>20.399999999999999</v>
      </c>
      <c r="L36" s="80">
        <f t="shared" si="19"/>
        <v>28.4</v>
      </c>
      <c r="M36" s="75">
        <f t="shared" si="19"/>
        <v>1.74</v>
      </c>
      <c r="N36" s="90">
        <f>AD36*Cubics</f>
        <v>60</v>
      </c>
      <c r="O36" s="242">
        <f>((($D36/Watts)/(((p_atm*0.028964)/(8.31447*(20+273.15)))*(($N36/3600)/Cubics)*(1005+1870*((0.622)/(((p_atm)/($E$12*Pvs_Heat_in))-1)))))+Tl_heat)*Celc1+Celc2</f>
        <v>54.541404701722328</v>
      </c>
      <c r="P36" s="243">
        <f>(Tl_cool-(($G36/Watts)/(1006*$N36*kgss)))*Celc1+Celc2</f>
        <v>0</v>
      </c>
      <c r="Q36" s="210">
        <v>1</v>
      </c>
      <c r="R36" s="127">
        <f t="shared" si="2"/>
        <v>0.68</v>
      </c>
      <c r="S36" s="127">
        <v>0.68</v>
      </c>
      <c r="T36" s="127">
        <v>1.04</v>
      </c>
      <c r="U36" s="127">
        <v>0.85870000000000002</v>
      </c>
      <c r="V36" s="152">
        <v>0.87749999999999995</v>
      </c>
      <c r="W36" s="182" t="e">
        <f>(H36-G36)/H36</f>
        <v>#DIV/0!</v>
      </c>
      <c r="X36" s="137">
        <f t="shared" si="6"/>
        <v>706.05000000000007</v>
      </c>
      <c r="Y36" s="138">
        <f>IF($X$16=1,AF36,IF($X$16=2,AR36,IF($X$16=3,BQ36,IF($X$16=4,BJ36,IF($X$16=5,CF36,IF($X$16=6,BY36,IF($X$16=7,BC36,)))))))</f>
        <v>7.3989525167788965E-4</v>
      </c>
      <c r="Z36" s="138">
        <f t="shared" si="7"/>
        <v>290</v>
      </c>
      <c r="AA36" s="138">
        <f t="shared" si="8"/>
        <v>7.3989525167788965E-4</v>
      </c>
      <c r="AB36" s="138">
        <f t="shared" si="9"/>
        <v>28.4</v>
      </c>
      <c r="AC36" s="138">
        <f t="shared" si="10"/>
        <v>1.74</v>
      </c>
      <c r="AD36" s="138">
        <f t="shared" si="11"/>
        <v>60</v>
      </c>
      <c r="AE36" s="132">
        <f>AE30*($AK$40/$AK$34)</f>
        <v>706.05000000000007</v>
      </c>
      <c r="AF36" s="138">
        <v>7.3989525167788965E-4</v>
      </c>
      <c r="AG36" s="138">
        <v>290</v>
      </c>
      <c r="AH36" s="138">
        <f>AF36</f>
        <v>7.3989525167788965E-4</v>
      </c>
      <c r="AI36" s="139">
        <v>28.4</v>
      </c>
      <c r="AJ36" s="139">
        <v>1.74</v>
      </c>
      <c r="AK36" s="138">
        <v>60</v>
      </c>
      <c r="AL36" s="265">
        <f>((D36/Watts)/(($S$9-$S$10)*1.163))</f>
        <v>60.709372312983668</v>
      </c>
      <c r="AM36" s="134">
        <f t="shared" ref="AM36:AM39" si="21">((AN36*(AL36^AP36)*(($AL$40-19.5)/100)*2)+AO36*(AL36^2))*0.0098</f>
        <v>0.32969062642810371</v>
      </c>
      <c r="AN36" s="134">
        <v>6.5250871001174002E-3</v>
      </c>
      <c r="AO36" s="134">
        <v>5.7852740858429998E-4</v>
      </c>
      <c r="AP36" s="136">
        <v>1.8056661148752</v>
      </c>
    </row>
    <row r="37" spans="2:179" ht="15" x14ac:dyDescent="0.25">
      <c r="B37" s="70">
        <v>0.6</v>
      </c>
      <c r="C37" s="71">
        <v>6</v>
      </c>
      <c r="D37" s="72">
        <f>(X37*($T$11^$Q37))*Watts*CF_Altit</f>
        <v>1421.5500000000002</v>
      </c>
      <c r="E37" s="86">
        <f>ROUND(((D37/Watts)/(($S$9-$S$10)*1.163))*$E$14,IF($X$4=1,0,IF($X$4=2,2)))</f>
        <v>122</v>
      </c>
      <c r="F37" s="74">
        <f t="shared" si="20"/>
        <v>1.1773030202437731</v>
      </c>
      <c r="G37" s="73"/>
      <c r="H37" s="73"/>
      <c r="I37" s="86"/>
      <c r="J37" s="106"/>
      <c r="K37" s="85">
        <f>L37-8</f>
        <v>28.5</v>
      </c>
      <c r="L37" s="80">
        <f t="shared" si="19"/>
        <v>36.5</v>
      </c>
      <c r="M37" s="75">
        <f t="shared" si="19"/>
        <v>3.06</v>
      </c>
      <c r="N37" s="90">
        <f>AD37*Cubics</f>
        <v>100</v>
      </c>
      <c r="O37" s="242">
        <f>((($D37/Watts)/(((p_atm*0.028964)/(8.31447*(20+273.15)))*(($N37/3600)/Cubics)*(1005+1870*((0.622)/(((p_atm)/($E$12*Pvs_Heat_in))-1)))))+Tl_heat)*Celc1+Celc2</f>
        <v>61.727073595694392</v>
      </c>
      <c r="P37" s="243">
        <f>(Tl_cool-(($G37/Watts)/(1006*$N37*kgss)))*Celc1+Celc2</f>
        <v>0</v>
      </c>
      <c r="Q37" s="210">
        <v>1</v>
      </c>
      <c r="R37" s="127">
        <f t="shared" si="2"/>
        <v>0.79</v>
      </c>
      <c r="S37" s="127">
        <v>0.79</v>
      </c>
      <c r="T37" s="79">
        <v>0.95</v>
      </c>
      <c r="U37" s="127">
        <v>0.8831</v>
      </c>
      <c r="V37" s="152">
        <v>0.88200000000000001</v>
      </c>
      <c r="W37" s="182" t="e">
        <f>(H37-G37)/H37</f>
        <v>#DIV/0!</v>
      </c>
      <c r="X37" s="137">
        <f t="shared" si="6"/>
        <v>1421.5500000000002</v>
      </c>
      <c r="Y37" s="133" t="str">
        <f>IF($X$16=1,AF37,IF($X$16=2,AR37,IF($X$16=3,BQ37,IF($X$16=4,BJ37,IF($X$16=5,CF37,IF($X$16=6,BY37,IF($X$16=7,BC37,)))))))</f>
        <v>b</v>
      </c>
      <c r="Z37" s="138">
        <f t="shared" si="7"/>
        <v>458</v>
      </c>
      <c r="AA37" s="133" t="str">
        <f t="shared" si="8"/>
        <v>b</v>
      </c>
      <c r="AB37" s="138">
        <f t="shared" si="9"/>
        <v>36.5</v>
      </c>
      <c r="AC37" s="138">
        <f t="shared" si="10"/>
        <v>3.06</v>
      </c>
      <c r="AD37" s="138">
        <f t="shared" si="11"/>
        <v>100</v>
      </c>
      <c r="AE37" s="132">
        <f>AE31*($AK$40/$AK$34)</f>
        <v>1421.5500000000002</v>
      </c>
      <c r="AF37" s="133" t="s">
        <v>50</v>
      </c>
      <c r="AG37" s="138">
        <v>458</v>
      </c>
      <c r="AH37" s="133" t="s">
        <v>50</v>
      </c>
      <c r="AI37" s="139">
        <v>36.5</v>
      </c>
      <c r="AJ37" s="139">
        <v>3.06</v>
      </c>
      <c r="AK37" s="138">
        <v>100</v>
      </c>
      <c r="AL37" s="265">
        <f>((D37/Watts)/(($S$9-$S$10)*1.163))</f>
        <v>122.23129836629407</v>
      </c>
      <c r="AM37" s="134">
        <f t="shared" si="21"/>
        <v>1.1773030202437731</v>
      </c>
      <c r="AN37" s="134">
        <v>6.5250871001174002E-3</v>
      </c>
      <c r="AO37" s="134">
        <v>5.7852740858429998E-4</v>
      </c>
      <c r="AP37" s="136">
        <v>1.8056661148752</v>
      </c>
    </row>
    <row r="38" spans="2:179" ht="15" x14ac:dyDescent="0.25">
      <c r="B38" s="70">
        <v>0.8</v>
      </c>
      <c r="C38" s="71">
        <v>8</v>
      </c>
      <c r="D38" s="72">
        <f>(X38*($T$11^$Q38))*Watts*CF_Altit</f>
        <v>1894.0500000000002</v>
      </c>
      <c r="E38" s="86">
        <f>ROUND(((D38/Watts)/(($S$9-$S$10)*1.163))*$E$14,IF($X$4=1,0,IF($X$4=2,2)))</f>
        <v>163</v>
      </c>
      <c r="F38" s="74">
        <f t="shared" si="20"/>
        <v>1.9847946062562469</v>
      </c>
      <c r="G38" s="73"/>
      <c r="H38" s="73"/>
      <c r="I38" s="86"/>
      <c r="J38" s="106"/>
      <c r="K38" s="85">
        <f>L38-8</f>
        <v>39.1</v>
      </c>
      <c r="L38" s="80">
        <f t="shared" si="19"/>
        <v>47.1</v>
      </c>
      <c r="M38" s="75">
        <f t="shared" si="19"/>
        <v>4.92</v>
      </c>
      <c r="N38" s="90">
        <f>AD38*Cubics</f>
        <v>148</v>
      </c>
      <c r="O38" s="242">
        <f>((($D38/Watts)/(((p_atm*0.028964)/(8.31447*(20+273.15)))*(($N38/3600)/Cubics)*(1005+1870*((0.622)/(((p_atm)/($E$12*Pvs_Heat_in))-1)))))+Tl_heat)*Celc1+Celc2</f>
        <v>57.565183295320466</v>
      </c>
      <c r="P38" s="243">
        <f>(Tl_cool-(($G38/Watts)/(1006*$N38*kgss)))*Celc1+Celc2</f>
        <v>0</v>
      </c>
      <c r="Q38" s="210">
        <v>1</v>
      </c>
      <c r="R38" s="127">
        <f t="shared" si="2"/>
        <v>0.87</v>
      </c>
      <c r="S38" s="127">
        <v>0.87</v>
      </c>
      <c r="T38" s="127">
        <v>0.95</v>
      </c>
      <c r="U38" s="127">
        <v>0.85389999999999999</v>
      </c>
      <c r="V38" s="152">
        <v>0.89500000000000002</v>
      </c>
      <c r="W38" s="182" t="e">
        <f>(H38-G38)/H38</f>
        <v>#DIV/0!</v>
      </c>
      <c r="X38" s="137">
        <f t="shared" si="6"/>
        <v>1894.0500000000002</v>
      </c>
      <c r="Y38" s="138">
        <f>IF($X$16=1,AF38,IF($X$16=2,AR38,IF($X$16=3,BQ38,IF($X$16=4,BJ38,IF($X$16=5,CF38,IF($X$16=6,BY38,IF($X$16=7,BC38,)))))))</f>
        <v>1.8235155847906199</v>
      </c>
      <c r="Z38" s="138">
        <f t="shared" si="7"/>
        <v>634</v>
      </c>
      <c r="AA38" s="138">
        <f t="shared" si="8"/>
        <v>1.8235155847906199</v>
      </c>
      <c r="AB38" s="138">
        <f t="shared" si="9"/>
        <v>47.1</v>
      </c>
      <c r="AC38" s="138">
        <f t="shared" si="10"/>
        <v>4.92</v>
      </c>
      <c r="AD38" s="138">
        <f t="shared" si="11"/>
        <v>148</v>
      </c>
      <c r="AE38" s="132">
        <f>AE32*($AK$40/$AK$34)</f>
        <v>1894.0500000000002</v>
      </c>
      <c r="AF38" s="138">
        <v>1.8235155847906199</v>
      </c>
      <c r="AG38" s="138">
        <v>634</v>
      </c>
      <c r="AH38" s="138">
        <f>AF38</f>
        <v>1.8235155847906199</v>
      </c>
      <c r="AI38" s="139">
        <v>47.1</v>
      </c>
      <c r="AJ38" s="139">
        <v>4.92</v>
      </c>
      <c r="AK38" s="138">
        <v>148</v>
      </c>
      <c r="AL38" s="265">
        <f>((D38/Watts)/(($S$9-$S$10)*1.163))</f>
        <v>162.85898538263112</v>
      </c>
      <c r="AM38" s="134">
        <f t="shared" si="21"/>
        <v>1.9847946062562469</v>
      </c>
      <c r="AN38" s="134">
        <v>6.5250871001174002E-3</v>
      </c>
      <c r="AO38" s="134">
        <v>5.7852740858429998E-4</v>
      </c>
      <c r="AP38" s="136">
        <v>1.8056661148752</v>
      </c>
    </row>
    <row r="39" spans="2:179" ht="15" x14ac:dyDescent="0.25">
      <c r="B39" s="70">
        <v>1</v>
      </c>
      <c r="C39" s="71">
        <v>10</v>
      </c>
      <c r="D39" s="72">
        <f>(X39*($T$11^$Q39))*Watts*CF_Altit</f>
        <v>2226.15</v>
      </c>
      <c r="E39" s="86">
        <f>ROUND(((D39/Watts)/(($S$9-$S$10)*1.163))*$E$14,IF($X$4=1,0,IF($X$4=2,2)))</f>
        <v>191</v>
      </c>
      <c r="F39" s="74">
        <f t="shared" si="20"/>
        <v>2.6635119539217489</v>
      </c>
      <c r="G39" s="73"/>
      <c r="H39" s="73"/>
      <c r="I39" s="86"/>
      <c r="J39" s="106"/>
      <c r="K39" s="85">
        <f>L39-8</f>
        <v>45.5</v>
      </c>
      <c r="L39" s="80">
        <f t="shared" si="19"/>
        <v>53.5</v>
      </c>
      <c r="M39" s="75">
        <f t="shared" si="19"/>
        <v>7.68</v>
      </c>
      <c r="N39" s="90">
        <f>AD39*Cubics</f>
        <v>196</v>
      </c>
      <c r="O39" s="242">
        <f>((($D39/Watts)/(((p_atm*0.028964)/(8.31447*(20+273.15)))*(($N39/3600)/Cubics)*(1005+1870*((0.622)/(((p_atm)/($E$12*Pvs_Heat_in))-1)))))+Tl_heat)*Celc1+Celc2</f>
        <v>53.339120665591047</v>
      </c>
      <c r="P39" s="243">
        <f>(Tl_cool-(($G39/Watts)/(1006*$N39*kgss)))*Celc1+Celc2</f>
        <v>0</v>
      </c>
      <c r="Q39" s="210">
        <v>1</v>
      </c>
      <c r="R39" s="127">
        <f t="shared" si="2"/>
        <v>0.91</v>
      </c>
      <c r="S39" s="127">
        <v>0.91</v>
      </c>
      <c r="T39" s="127">
        <v>0.98</v>
      </c>
      <c r="U39" s="127">
        <v>0.77110000000000001</v>
      </c>
      <c r="V39" s="152">
        <v>0.91110000000000002</v>
      </c>
      <c r="W39" s="182" t="e">
        <f>(H39-G39)/H39</f>
        <v>#DIV/0!</v>
      </c>
      <c r="X39" s="140">
        <f t="shared" si="6"/>
        <v>2226.15</v>
      </c>
      <c r="Y39" s="150">
        <f>IF($X$16=1,AF39,IF($X$16=2,AR39,IF($X$16=3,BQ39,IF($X$16=4,BJ39,IF($X$16=5,CF39,IF($X$16=6,BY39,IF($X$16=7,BC39,)))))))</f>
        <v>0</v>
      </c>
      <c r="Z39" s="142">
        <f t="shared" si="7"/>
        <v>816</v>
      </c>
      <c r="AA39" s="150">
        <f t="shared" si="8"/>
        <v>0</v>
      </c>
      <c r="AB39" s="142">
        <f t="shared" si="9"/>
        <v>53.5</v>
      </c>
      <c r="AC39" s="142">
        <f t="shared" si="10"/>
        <v>7.68</v>
      </c>
      <c r="AD39" s="142">
        <f t="shared" si="11"/>
        <v>196</v>
      </c>
      <c r="AE39" s="132">
        <f>AE33*($AK$40/$AK$34)</f>
        <v>2226.15</v>
      </c>
      <c r="AF39" s="141"/>
      <c r="AG39" s="142">
        <v>816</v>
      </c>
      <c r="AH39" s="141"/>
      <c r="AI39" s="143">
        <v>53.5</v>
      </c>
      <c r="AJ39" s="143">
        <v>7.68</v>
      </c>
      <c r="AK39" s="142">
        <v>196</v>
      </c>
      <c r="AL39" s="265">
        <f>((D39/Watts)/(($S$9-$S$10)*1.163))</f>
        <v>191.41444539982803</v>
      </c>
      <c r="AM39" s="134">
        <f t="shared" si="21"/>
        <v>2.6635119539217489</v>
      </c>
      <c r="AN39" s="134">
        <v>6.5250871001174002E-3</v>
      </c>
      <c r="AO39" s="134">
        <v>5.7852740858429998E-4</v>
      </c>
      <c r="AP39" s="136">
        <v>1.8056661148752</v>
      </c>
    </row>
    <row r="40" spans="2:179" ht="15" x14ac:dyDescent="0.25">
      <c r="B40" s="356" t="str">
        <f>IF($S$7=1,NL!A39,IF(cal!$S$7=2,EN!A39,IF(cal!$S$7=3,DE!A39,IF(cal!$S$7=4,FR!A39,IF(cal!$S$7=5,NR!A39,IF(cal!$S$7=6,SP!A39,IF(cal!$S$7=7,SW!A39,IF(cal!$S$7=8,TS!A39,IF(cal!$S$7=9,ExtraTaal1!A39,IF(cal!$S$7=10,ExtraTaal2!A39,IF(cal!$S$7=11,ExtraTaal3!A39,)))))))))))</f>
        <v>Micro Canal height 6 cm width 14 cm length 200 cm (Type 5)</v>
      </c>
      <c r="C40" s="357">
        <f>IF($S$7=1,NL!B39,IF(cal!$S$7=2,EN!B39,IF(cal!$S$7=3,DE!B39,IF(cal!$S$7=4,FR!B39,IF(cal!$S$7=5,NR!B39,IF(cal!$S$7=6,SP!B39,IF(cal!$S$7=7,SW!B39,IF(cal!$S$7=8,TS!B39,IF(cal!$S$7=9,ExtraTaal1!B39,IF(cal!$S$7=10,ExtraTaal2!B39,IF(cal!$S$7=11,ExtraTaal3!B39,)))))))))))</f>
        <v>0</v>
      </c>
      <c r="D40" s="357">
        <f>IF($S$7=1,NL!C39,IF(cal!$S$7=2,EN!C39,IF(cal!$S$7=3,DE!C39,IF(cal!$S$7=4,FR!C39,IF(cal!$S$7=5,NR!C39,IF(cal!$S$7=6,SP!C39,IF(cal!$S$7=7,SW!C39,IF(cal!$S$7=8,TS!C39,IF(cal!$S$7=9,ExtraTaal1!C39,IF(cal!$S$7=10,ExtraTaal2!C39,IF(cal!$S$7=11,ExtraTaal3!C39,)))))))))))</f>
        <v>0</v>
      </c>
      <c r="E40" s="357">
        <f>IF($S$7=1,NL!D39,IF(cal!$S$7=2,EN!D39,IF(cal!$S$7=3,DE!D39,IF(cal!$S$7=4,FR!D39,IF(cal!$S$7=5,NR!D39,IF(cal!$S$7=6,SP!D39,IF(cal!$S$7=7,SW!D39,IF(cal!$S$7=8,TS!D39,IF(cal!$S$7=9,ExtraTaal1!D39,IF(cal!$S$7=10,ExtraTaal2!D39,IF(cal!$S$7=11,ExtraTaal3!D39,)))))))))))</f>
        <v>0</v>
      </c>
      <c r="F40" s="357">
        <f>IF($S$7=1,NL!E39,IF(cal!$S$7=2,EN!E39,IF(cal!$S$7=3,DE!E39,IF(cal!$S$7=4,FR!E39,IF(cal!$S$7=5,NR!E39,IF(cal!$S$7=6,SP!E39,IF(cal!$S$7=7,SW!E39,IF(cal!$S$7=8,TS!E39,IF(cal!$S$7=9,ExtraTaal1!E39,IF(cal!$S$7=10,ExtraTaal2!E39,IF(cal!$S$7=11,ExtraTaal3!E39,)))))))))))</f>
        <v>0</v>
      </c>
      <c r="G40" s="357">
        <f>IF($S$7=1,NL!F39,IF(cal!$S$7=2,EN!F39,IF(cal!$S$7=3,DE!F39,IF(cal!$S$7=4,FR!F39,IF(cal!$S$7=5,NR!F39,IF(cal!$S$7=6,SP!F39,IF(cal!$S$7=7,SW!F39,IF(cal!$S$7=8,TS!F39,IF(cal!$S$7=9,ExtraTaal1!F39,IF(cal!$S$7=10,ExtraTaal2!F39,IF(cal!$S$7=11,ExtraTaal3!F39,)))))))))))</f>
        <v>0</v>
      </c>
      <c r="H40" s="357">
        <f>IF($S$7=1,NL!G39,IF(cal!$S$7=2,EN!G39,IF(cal!$S$7=3,DE!G39,IF(cal!$S$7=4,FR!G39,IF(cal!$S$7=5,NR!G39,IF(cal!$S$7=6,SP!G39,IF(cal!$S$7=7,SW!G39,IF(cal!$S$7=8,TS!G39,IF(cal!$S$7=9,ExtraTaal1!G39,IF(cal!$S$7=10,ExtraTaal2!G39,IF(cal!$S$7=11,ExtraTaal3!G39,)))))))))))</f>
        <v>0</v>
      </c>
      <c r="I40" s="357">
        <f>IF($S$7=1,NL!H39,IF(cal!$S$7=2,EN!H39,IF(cal!$S$7=3,DE!H39,IF(cal!$S$7=4,FR!H39,IF(cal!$S$7=5,NR!H39,IF(cal!$S$7=6,SP!H39,IF(cal!$S$7=7,SW!H39,IF(cal!$S$7=8,TS!H39,IF(cal!$S$7=9,ExtraTaal1!H39,IF(cal!$S$7=10,ExtraTaal2!H39,IF(cal!$S$7=11,ExtraTaal3!H39,)))))))))))</f>
        <v>0</v>
      </c>
      <c r="J40" s="357">
        <f>IF($S$7=1,NL!I39,IF(cal!$S$7=2,EN!I39,IF(cal!$S$7=3,DE!I39,IF(cal!$S$7=4,FR!I39,IF(cal!$S$7=5,NR!I39,IF(cal!$S$7=6,SP!I39,IF(cal!$S$7=7,SW!I39,IF(cal!$S$7=8,TS!I39,IF(cal!$S$7=9,ExtraTaal1!I39,IF(cal!$S$7=10,ExtraTaal2!I39,IF(cal!$S$7=11,ExtraTaal3!I39,)))))))))))</f>
        <v>0</v>
      </c>
      <c r="K40" s="357">
        <f>IF($S$7=1,NL!J39,IF(cal!$S$7=2,EN!J39,IF(cal!$S$7=3,DE!J39,IF(cal!$S$7=4,FR!J39,IF(cal!$S$7=5,NR!J39,IF(cal!$S$7=6,SP!J39,IF(cal!$S$7=7,SW!J39,IF(cal!$S$7=8,TS!J39,IF(cal!$S$7=9,ExtraTaal1!J39,IF(cal!$S$7=10,ExtraTaal2!J39,IF(cal!$S$7=11,ExtraTaal3!J39,)))))))))))</f>
        <v>0</v>
      </c>
      <c r="L40" s="357">
        <f>IF($S$7=1,NL!K39,IF(cal!$S$7=2,EN!K39,IF(cal!$S$7=3,DE!K39,IF(cal!$S$7=4,FR!K39,IF(cal!$S$7=5,NR!K39,IF(cal!$S$7=6,SP!K39,IF(cal!$S$7=7,SW!K39,IF(cal!$S$7=8,TS!K39,IF(cal!$S$7=9,ExtraTaal1!K39,IF(cal!$S$7=10,ExtraTaal2!K39,IF(cal!$S$7=11,ExtraTaal3!K39,)))))))))))</f>
        <v>0</v>
      </c>
      <c r="M40" s="357">
        <f>IF($S$7=1,NL!L39,IF(cal!$S$7=2,EN!L39,IF(cal!$S$7=3,DE!L39,IF(cal!$S$7=4,FR!L39,IF(cal!$S$7=5,NR!L39,IF(cal!$S$7=6,SP!L39,IF(cal!$S$7=7,SW!L39,IF(cal!$S$7=8,TS!L39,IF(cal!$S$7=9,ExtraTaal1!L39,IF(cal!$S$7=10,ExtraTaal2!L39,IF(cal!$S$7=11,ExtraTaal3!L39,)))))))))))</f>
        <v>0</v>
      </c>
      <c r="N40" s="357">
        <f>IF($S$7=1,NL!M39,IF(cal!$S$7=2,EN!M39,IF(cal!$S$7=3,DE!M39,IF(cal!$S$7=4,FR!M39,IF(cal!$S$7=5,NR!M39,IF(cal!$S$7=6,SP!M39,IF(cal!$S$7=7,SW!M39,IF(cal!$S$7=8,TS!M39,IF(cal!$S$7=9,ExtraTaal1!M39,IF(cal!$S$7=10,ExtraTaal2!M39,IF(cal!$S$7=11,ExtraTaal3!M39,)))))))))))</f>
        <v>0</v>
      </c>
      <c r="O40" s="357">
        <f>IF($S$7=1,NL!N39,IF(cal!$S$7=2,EN!N39,IF(cal!$S$7=3,DE!N39,IF(cal!$S$7=4,FR!N39,IF(cal!$S$7=5,NR!N39,IF(cal!$S$7=6,SP!N39,IF(cal!$S$7=7,SW!N39,IF(cal!$S$7=8,TS!N39,IF(cal!$S$7=9,ExtraTaal1!N39,IF(cal!$S$7=10,ExtraTaal2!N39,IF(cal!$S$7=11,ExtraTaal3!N39,)))))))))))</f>
        <v>0</v>
      </c>
      <c r="P40" s="358">
        <f>IF($S$7=1,NL!O39,IF(cal!$S$7=2,EN!O39,IF(cal!$S$7=3,DE!O39,IF(cal!$S$7=4,FR!O39,IF(cal!$S$7=5,NR!O39,IF(cal!$S$7=6,SP!O39,IF(cal!$S$7=7,SW!O39,IF(cal!$S$7=8,TS!O39,IF(cal!$S$7=9,ExtraTaal1!O39,IF(cal!$S$7=10,ExtraTaal2!O39,IF(cal!$S$7=11,ExtraTaal3!O39,)))))))))))</f>
        <v>0</v>
      </c>
      <c r="Q40" s="198" t="s">
        <v>11</v>
      </c>
      <c r="R40" s="127" t="str">
        <f t="shared" si="2"/>
        <v>n-value</v>
      </c>
      <c r="S40" s="79" t="s">
        <v>11</v>
      </c>
      <c r="T40" s="79" t="s">
        <v>11</v>
      </c>
      <c r="U40" s="79" t="s">
        <v>11</v>
      </c>
      <c r="V40" s="128" t="s">
        <v>11</v>
      </c>
      <c r="W40" s="182"/>
      <c r="X40" s="144" t="str">
        <f t="shared" si="6"/>
        <v>H</v>
      </c>
      <c r="Y40" s="155">
        <v>6</v>
      </c>
      <c r="Z40" s="144" t="str">
        <f t="shared" si="7"/>
        <v>B</v>
      </c>
      <c r="AA40" s="155">
        <f t="shared" si="8"/>
        <v>14</v>
      </c>
      <c r="AB40" s="144" t="str">
        <f t="shared" si="9"/>
        <v>L</v>
      </c>
      <c r="AC40" s="147">
        <f t="shared" si="10"/>
        <v>165</v>
      </c>
      <c r="AD40" s="146">
        <f t="shared" si="11"/>
        <v>135</v>
      </c>
      <c r="AE40" s="144" t="s">
        <v>61</v>
      </c>
      <c r="AF40" s="148">
        <f>AF34</f>
        <v>6</v>
      </c>
      <c r="AG40" s="144" t="s">
        <v>62</v>
      </c>
      <c r="AH40" s="148">
        <f>AH34</f>
        <v>14</v>
      </c>
      <c r="AI40" s="144" t="s">
        <v>63</v>
      </c>
      <c r="AJ40" s="285">
        <f>165*IF($X$4=1,1,IF($X$4=2,1/2.54))</f>
        <v>165</v>
      </c>
      <c r="AK40" s="278">
        <v>135</v>
      </c>
      <c r="AL40" s="284">
        <v>165</v>
      </c>
      <c r="AM40" s="282">
        <f t="shared" ref="AM40" si="22">((AN40*(AL40^AP40)*(($AJ$40-19.5)/100)*2)+AO40*(AL40^2))*0.0098</f>
        <v>2.0325503726742054</v>
      </c>
      <c r="AN40" s="282">
        <v>6.5250871001174002E-3</v>
      </c>
      <c r="AO40" s="282">
        <v>5.7852740858429998E-4</v>
      </c>
      <c r="AP40" s="283">
        <v>1.8056661148752</v>
      </c>
    </row>
    <row r="41" spans="2:179" ht="15" x14ac:dyDescent="0.25">
      <c r="B41" s="70">
        <v>0.2</v>
      </c>
      <c r="C41" s="71">
        <v>2</v>
      </c>
      <c r="D41" s="72">
        <f>(X41*($T$11^$Q41))*Watts*CF_Altit</f>
        <v>338.3</v>
      </c>
      <c r="E41" s="86">
        <f>ROUND(((D41/Watts)/(($S$9-$S$10)*1.163))*$E$14,IF($X$4=1,0,IF($X$4=2,2)))</f>
        <v>29</v>
      </c>
      <c r="F41" s="74">
        <f>(IF($X$4=1,AM41,IF($X$4=2,AM41*0.334552563)))</f>
        <v>0.10626158757102755</v>
      </c>
      <c r="G41" s="73"/>
      <c r="H41" s="73"/>
      <c r="I41" s="86"/>
      <c r="J41" s="106"/>
      <c r="K41" s="85">
        <f>L41-8</f>
        <v>17.100000000000001</v>
      </c>
      <c r="L41" s="80">
        <f t="shared" ref="L41:M45" si="23">AB41</f>
        <v>25.1</v>
      </c>
      <c r="M41" s="75">
        <f t="shared" si="23"/>
        <v>1.06</v>
      </c>
      <c r="N41" s="90">
        <f>AD41*Cubics</f>
        <v>44</v>
      </c>
      <c r="O41" s="240">
        <f>((($D41/Watts)/(((p_atm*0.028964)/(8.31447*(20+273.15)))*(($N41/3600)/Cubics)*(1005+1870*((0.622)/(((p_atm)/($E$12*Pvs_Heat_in))-1)))))+Tl_heat)*Celc1+Celc2</f>
        <v>42.568625471913521</v>
      </c>
      <c r="P41" s="241">
        <f>(Tl_cool-(($G41/Watts)/(1006*$N41*kgss)))*Celc1+Celc2</f>
        <v>0</v>
      </c>
      <c r="Q41" s="210">
        <v>1</v>
      </c>
      <c r="R41" s="127">
        <f t="shared" si="2"/>
        <v>0</v>
      </c>
      <c r="S41" s="186">
        <v>0</v>
      </c>
      <c r="T41" s="186">
        <v>0</v>
      </c>
      <c r="U41" s="127">
        <v>0.78069999999999995</v>
      </c>
      <c r="V41" s="186">
        <v>0</v>
      </c>
      <c r="W41" s="182" t="e">
        <f>(H41-G41)/H41</f>
        <v>#DIV/0!</v>
      </c>
      <c r="X41" s="132">
        <f t="shared" si="6"/>
        <v>338.3</v>
      </c>
      <c r="Y41" s="133">
        <f>IF($X$16=1,AF41,IF($X$16=2,AR41,IF($X$16=3,BQ41,IF($X$16=4,BJ41,IF($X$16=5,CF41,IF($X$16=6,BY41,IF($X$16=7,BC41,)))))))</f>
        <v>0</v>
      </c>
      <c r="Z41" s="134">
        <f t="shared" si="7"/>
        <v>0</v>
      </c>
      <c r="AA41" s="133">
        <f t="shared" si="8"/>
        <v>0</v>
      </c>
      <c r="AB41" s="134">
        <f t="shared" si="9"/>
        <v>25.1</v>
      </c>
      <c r="AC41" s="134">
        <f t="shared" si="10"/>
        <v>1.06</v>
      </c>
      <c r="AD41" s="134">
        <f t="shared" si="11"/>
        <v>44</v>
      </c>
      <c r="AE41" s="92">
        <f>AE29*($AK$46/$AK$34)</f>
        <v>338.3</v>
      </c>
      <c r="AF41" s="93"/>
      <c r="AG41" s="94"/>
      <c r="AH41" s="93"/>
      <c r="AI41" s="95">
        <v>25.1</v>
      </c>
      <c r="AJ41" s="95">
        <v>1.06</v>
      </c>
      <c r="AK41" s="94">
        <v>44</v>
      </c>
      <c r="AL41" s="265">
        <f>((D41/Watts)/(($S$9-$S$10)*1.163))</f>
        <v>29.088564058469476</v>
      </c>
      <c r="AM41" s="134">
        <f>((AN41*(AL41^AP41)*(($AL$46-19.5)/100)*2)+AO41*(AL41^2))*0.0098</f>
        <v>0.10626158757102755</v>
      </c>
      <c r="AN41" s="134">
        <v>6.5250871001174002E-3</v>
      </c>
      <c r="AO41" s="134">
        <v>5.7852740858429998E-4</v>
      </c>
      <c r="AP41" s="136">
        <v>1.8056661148752</v>
      </c>
    </row>
    <row r="42" spans="2:179" ht="15" x14ac:dyDescent="0.25">
      <c r="B42" s="70">
        <v>0.4</v>
      </c>
      <c r="C42" s="71">
        <v>4</v>
      </c>
      <c r="D42" s="72">
        <f>(X42*($T$11^$Q42))*Watts*CF_Altit</f>
        <v>889.1</v>
      </c>
      <c r="E42" s="86">
        <f>ROUND(((D42/Watts)/(($S$9-$S$10)*1.163))*$E$14,IF($X$4=1,0,IF($X$4=2,2)))</f>
        <v>76</v>
      </c>
      <c r="F42" s="74">
        <f t="shared" ref="F42:F45" si="24">(IF($X$4=1,AM42,IF($X$4=2,AM42*0.334552563)))</f>
        <v>0.61397815292948499</v>
      </c>
      <c r="G42" s="73"/>
      <c r="H42" s="73"/>
      <c r="I42" s="86"/>
      <c r="J42" s="106"/>
      <c r="K42" s="85">
        <f>L42-8</f>
        <v>19.399999999999999</v>
      </c>
      <c r="L42" s="80">
        <f t="shared" si="23"/>
        <v>27.4</v>
      </c>
      <c r="M42" s="75">
        <f t="shared" si="23"/>
        <v>1.82</v>
      </c>
      <c r="N42" s="90">
        <f>AD42*Cubics</f>
        <v>71</v>
      </c>
      <c r="O42" s="242">
        <f>((($D42/Watts)/(((p_atm*0.028964)/(8.31447*(20+273.15)))*(($N42/3600)/Cubics)*(1005+1870*((0.622)/(((p_atm)/($E$12*Pvs_Heat_in))-1)))))+Tl_heat)*Celc1+Celc2</f>
        <v>56.757676364900128</v>
      </c>
      <c r="P42" s="243">
        <f>(Tl_cool-(($G42/Watts)/(1006*$N42*kgss)))*Celc1+Celc2</f>
        <v>0</v>
      </c>
      <c r="Q42" s="210">
        <v>1</v>
      </c>
      <c r="R42" s="127">
        <f t="shared" si="2"/>
        <v>0</v>
      </c>
      <c r="S42" s="186">
        <v>0</v>
      </c>
      <c r="T42" s="186">
        <v>0</v>
      </c>
      <c r="U42" s="127">
        <v>0.85870000000000002</v>
      </c>
      <c r="V42" s="186">
        <v>0</v>
      </c>
      <c r="W42" s="182" t="e">
        <f>(H42-G42)/H42</f>
        <v>#DIV/0!</v>
      </c>
      <c r="X42" s="137">
        <f t="shared" si="6"/>
        <v>889.1</v>
      </c>
      <c r="Y42" s="138">
        <f>IF($X$16=1,AF42,IF($X$16=2,AR42,IF($X$16=3,BQ42,IF($X$16=4,BJ42,IF($X$16=5,CF42,IF($X$16=6,BY42,IF($X$16=7,BC42,)))))))</f>
        <v>0</v>
      </c>
      <c r="Z42" s="138">
        <f t="shared" si="7"/>
        <v>0</v>
      </c>
      <c r="AA42" s="138">
        <f t="shared" si="8"/>
        <v>0</v>
      </c>
      <c r="AB42" s="138">
        <f t="shared" si="9"/>
        <v>27.4</v>
      </c>
      <c r="AC42" s="138">
        <f t="shared" si="10"/>
        <v>1.82</v>
      </c>
      <c r="AD42" s="138">
        <f t="shared" si="11"/>
        <v>71</v>
      </c>
      <c r="AE42" s="92">
        <f>AE30*($AK$46/$AK$34)</f>
        <v>889.1</v>
      </c>
      <c r="AF42" s="96"/>
      <c r="AG42" s="96"/>
      <c r="AH42" s="96"/>
      <c r="AI42" s="97">
        <v>27.4</v>
      </c>
      <c r="AJ42" s="97">
        <v>1.82</v>
      </c>
      <c r="AK42" s="96">
        <v>71</v>
      </c>
      <c r="AL42" s="265">
        <f>((D42/Watts)/(($S$9-$S$10)*1.163))</f>
        <v>76.448839208942388</v>
      </c>
      <c r="AM42" s="134">
        <f t="shared" ref="AM42:AM45" si="25">((AN42*(AL42^AP42)*(($AL$46-19.5)/100)*2)+AO42*(AL42^2))*0.0098</f>
        <v>0.61397815292948499</v>
      </c>
      <c r="AN42" s="134">
        <v>6.5250871001174002E-3</v>
      </c>
      <c r="AO42" s="134">
        <v>5.7852740858429998E-4</v>
      </c>
      <c r="AP42" s="136">
        <v>1.8056661148752</v>
      </c>
    </row>
    <row r="43" spans="2:179" ht="15" x14ac:dyDescent="0.25">
      <c r="B43" s="70">
        <v>0.6</v>
      </c>
      <c r="C43" s="71">
        <v>6</v>
      </c>
      <c r="D43" s="72">
        <f>(X43*($T$11^$Q43))*Watts*CF_Altit</f>
        <v>1790.1</v>
      </c>
      <c r="E43" s="86">
        <f>ROUND(((D43/Watts)/(($S$9-$S$10)*1.163))*$E$14,IF($X$4=1,0,IF($X$4=2,2)))</f>
        <v>154</v>
      </c>
      <c r="F43" s="74">
        <f t="shared" si="24"/>
        <v>2.1894959237320637</v>
      </c>
      <c r="G43" s="73"/>
      <c r="H43" s="73"/>
      <c r="I43" s="86"/>
      <c r="J43" s="106"/>
      <c r="K43" s="85">
        <f>L43-8</f>
        <v>29</v>
      </c>
      <c r="L43" s="80">
        <f t="shared" si="23"/>
        <v>37</v>
      </c>
      <c r="M43" s="75">
        <f t="shared" si="23"/>
        <v>3.15</v>
      </c>
      <c r="N43" s="90">
        <f>AD43*Cubics</f>
        <v>117</v>
      </c>
      <c r="O43" s="242">
        <f>((($D43/Watts)/(((p_atm*0.028964)/(8.31447*(20+273.15)))*(($N43/3600)/Cubics)*(1005+1870*((0.622)/(((p_atm)/($E$12*Pvs_Heat_in))-1)))))+Tl_heat)*Celc1+Celc2</f>
        <v>64.910430587325394</v>
      </c>
      <c r="P43" s="243">
        <f>(Tl_cool-(($G43/Watts)/(1006*$N43*kgss)))*Celc1+Celc2</f>
        <v>0</v>
      </c>
      <c r="Q43" s="210">
        <v>1</v>
      </c>
      <c r="R43" s="127">
        <f t="shared" si="2"/>
        <v>0</v>
      </c>
      <c r="S43" s="186">
        <v>0</v>
      </c>
      <c r="T43" s="186">
        <v>0</v>
      </c>
      <c r="U43" s="127">
        <v>0.8831</v>
      </c>
      <c r="V43" s="186">
        <v>0</v>
      </c>
      <c r="W43" s="182" t="e">
        <f>(H43-G43)/H43</f>
        <v>#DIV/0!</v>
      </c>
      <c r="X43" s="137">
        <f t="shared" si="6"/>
        <v>1790.1</v>
      </c>
      <c r="Y43" s="133">
        <f>IF($X$16=1,AF43,IF($X$16=2,AR43,IF($X$16=3,BQ43,IF($X$16=4,BJ43,IF($X$16=5,CF43,IF($X$16=6,BY43,IF($X$16=7,BC43,)))))))</f>
        <v>0</v>
      </c>
      <c r="Z43" s="138">
        <f t="shared" si="7"/>
        <v>0</v>
      </c>
      <c r="AA43" s="133">
        <f t="shared" si="8"/>
        <v>0</v>
      </c>
      <c r="AB43" s="138">
        <f t="shared" si="9"/>
        <v>37</v>
      </c>
      <c r="AC43" s="138">
        <f t="shared" si="10"/>
        <v>3.15</v>
      </c>
      <c r="AD43" s="138">
        <f t="shared" si="11"/>
        <v>117</v>
      </c>
      <c r="AE43" s="92">
        <f>AE31*($AK$46/$AK$34)</f>
        <v>1790.1</v>
      </c>
      <c r="AF43" s="93"/>
      <c r="AG43" s="96"/>
      <c r="AH43" s="93"/>
      <c r="AI43" s="97">
        <v>37</v>
      </c>
      <c r="AJ43" s="97">
        <v>3.15</v>
      </c>
      <c r="AK43" s="96">
        <v>117</v>
      </c>
      <c r="AL43" s="265">
        <f>((D43/Watts)/(($S$9-$S$10)*1.163))</f>
        <v>153.92089423903695</v>
      </c>
      <c r="AM43" s="134">
        <f t="shared" si="25"/>
        <v>2.1894959237320637</v>
      </c>
      <c r="AN43" s="134">
        <v>6.5250871001174002E-3</v>
      </c>
      <c r="AO43" s="134">
        <v>5.7852740858429998E-4</v>
      </c>
      <c r="AP43" s="136">
        <v>1.8056661148752</v>
      </c>
    </row>
    <row r="44" spans="2:179" ht="15" x14ac:dyDescent="0.25">
      <c r="B44" s="70">
        <v>0.8</v>
      </c>
      <c r="C44" s="71">
        <v>8</v>
      </c>
      <c r="D44" s="72">
        <f>(X44*($T$11^$Q44))*Watts*CF_Altit</f>
        <v>2385.1</v>
      </c>
      <c r="E44" s="86">
        <f>ROUND(((D44/Watts)/(($S$9-$S$10)*1.163))*$E$14,IF($X$4=1,0,IF($X$4=2,2)))</f>
        <v>205</v>
      </c>
      <c r="F44" s="74">
        <f t="shared" si="24"/>
        <v>3.6889978888529815</v>
      </c>
      <c r="G44" s="73"/>
      <c r="H44" s="73"/>
      <c r="I44" s="86"/>
      <c r="J44" s="106"/>
      <c r="K44" s="85">
        <f>L44-8</f>
        <v>39.700000000000003</v>
      </c>
      <c r="L44" s="80">
        <f t="shared" si="23"/>
        <v>47.7</v>
      </c>
      <c r="M44" s="75">
        <f t="shared" si="23"/>
        <v>5.1100000000000003</v>
      </c>
      <c r="N44" s="90">
        <f>AD44*Cubics</f>
        <v>173</v>
      </c>
      <c r="O44" s="242">
        <f>((($D44/Watts)/(((p_atm*0.028964)/(8.31447*(20+273.15)))*(($N44/3600)/Cubics)*(1005+1870*((0.622)/(((p_atm)/($E$12*Pvs_Heat_in))-1)))))+Tl_heat)*Celc1+Celc2</f>
        <v>60.468422680807663</v>
      </c>
      <c r="P44" s="243">
        <f>(Tl_cool-(($G44/Watts)/(1006*$N44*kgss)))*Celc1+Celc2</f>
        <v>0</v>
      </c>
      <c r="Q44" s="210">
        <v>1</v>
      </c>
      <c r="R44" s="127">
        <f t="shared" si="2"/>
        <v>0</v>
      </c>
      <c r="S44" s="186">
        <v>0</v>
      </c>
      <c r="T44" s="186">
        <v>0</v>
      </c>
      <c r="U44" s="127">
        <v>0.85389999999999999</v>
      </c>
      <c r="V44" s="186">
        <v>0</v>
      </c>
      <c r="W44" s="182" t="e">
        <f>(H44-G44)/H44</f>
        <v>#DIV/0!</v>
      </c>
      <c r="X44" s="137">
        <f t="shared" si="6"/>
        <v>2385.1</v>
      </c>
      <c r="Y44" s="138">
        <f>IF($X$16=1,AF44,IF($X$16=2,AR44,IF($X$16=3,BQ44,IF($X$16=4,BJ44,IF($X$16=5,CF44,IF($X$16=6,BY44,IF($X$16=7,BC44,)))))))</f>
        <v>0</v>
      </c>
      <c r="Z44" s="138">
        <f t="shared" si="7"/>
        <v>0</v>
      </c>
      <c r="AA44" s="138">
        <f t="shared" si="8"/>
        <v>0</v>
      </c>
      <c r="AB44" s="138">
        <f t="shared" si="9"/>
        <v>47.7</v>
      </c>
      <c r="AC44" s="138">
        <f t="shared" si="10"/>
        <v>5.1100000000000003</v>
      </c>
      <c r="AD44" s="138">
        <f t="shared" si="11"/>
        <v>173</v>
      </c>
      <c r="AE44" s="92">
        <f>AE32*($AK$46/$AK$34)</f>
        <v>2385.1</v>
      </c>
      <c r="AF44" s="96"/>
      <c r="AG44" s="96"/>
      <c r="AH44" s="96"/>
      <c r="AI44" s="97">
        <v>47.7</v>
      </c>
      <c r="AJ44" s="97">
        <v>5.1100000000000003</v>
      </c>
      <c r="AK44" s="96">
        <v>173</v>
      </c>
      <c r="AL44" s="265">
        <f>((D44/Watts)/(($S$9-$S$10)*1.163))</f>
        <v>205.08168529664658</v>
      </c>
      <c r="AM44" s="134">
        <f t="shared" si="25"/>
        <v>3.6889978888529815</v>
      </c>
      <c r="AN44" s="134">
        <v>6.5250871001174002E-3</v>
      </c>
      <c r="AO44" s="134">
        <v>5.7852740858429998E-4</v>
      </c>
      <c r="AP44" s="136">
        <v>1.8056661148752</v>
      </c>
    </row>
    <row r="45" spans="2:179" ht="15" x14ac:dyDescent="0.25">
      <c r="B45" s="70">
        <v>1</v>
      </c>
      <c r="C45" s="71">
        <v>10</v>
      </c>
      <c r="D45" s="72">
        <f>(X45*($T$11^$Q45))*Watts*CF_Altit</f>
        <v>2803.2999999999997</v>
      </c>
      <c r="E45" s="86">
        <f>ROUND(((D45/Watts)/(($S$9-$S$10)*1.163))*$E$14,IF($X$4=1,0,IF($X$4=2,2)))</f>
        <v>241</v>
      </c>
      <c r="F45" s="74">
        <f t="shared" si="24"/>
        <v>4.9487298621162958</v>
      </c>
      <c r="G45" s="73"/>
      <c r="H45" s="73"/>
      <c r="I45" s="86"/>
      <c r="J45" s="106"/>
      <c r="K45" s="85">
        <f>L45-8</f>
        <v>45.2</v>
      </c>
      <c r="L45" s="80">
        <f t="shared" si="23"/>
        <v>53.2</v>
      </c>
      <c r="M45" s="75">
        <f t="shared" si="23"/>
        <v>7.98</v>
      </c>
      <c r="N45" s="90">
        <f>AD45*Cubics</f>
        <v>228</v>
      </c>
      <c r="O45" s="242">
        <f>((($D45/Watts)/(((p_atm*0.028964)/(8.31447*(20+273.15)))*(($N45/3600)/Cubics)*(1005+1870*((0.622)/(((p_atm)/($E$12*Pvs_Heat_in))-1)))))+Tl_heat)*Celc1+Celc2</f>
        <v>56.090302163011486</v>
      </c>
      <c r="P45" s="243">
        <f>(Tl_cool-(($G45/Watts)/(1006*$N45*kgss)))*Celc1+Celc2</f>
        <v>0</v>
      </c>
      <c r="Q45" s="270">
        <v>1</v>
      </c>
      <c r="R45" s="271">
        <f t="shared" si="2"/>
        <v>0</v>
      </c>
      <c r="S45" s="272">
        <v>0</v>
      </c>
      <c r="T45" s="272">
        <v>0</v>
      </c>
      <c r="U45" s="271">
        <v>0.77110000000000001</v>
      </c>
      <c r="V45" s="272">
        <v>0</v>
      </c>
      <c r="W45" s="182" t="e">
        <f>(H45-G45)/H45</f>
        <v>#DIV/0!</v>
      </c>
      <c r="X45" s="137">
        <f t="shared" si="6"/>
        <v>2803.2999999999997</v>
      </c>
      <c r="Y45" s="273">
        <f>IF($X$16=1,AF45,IF($X$16=2,AR45,IF($X$16=3,BQ45,IF($X$16=4,BJ45,IF($X$16=5,CF45,IF($X$16=6,BY45,IF($X$16=7,BC45,)))))))</f>
        <v>0</v>
      </c>
      <c r="Z45" s="138">
        <f t="shared" si="7"/>
        <v>0</v>
      </c>
      <c r="AA45" s="273">
        <f t="shared" si="8"/>
        <v>0</v>
      </c>
      <c r="AB45" s="138">
        <f t="shared" si="9"/>
        <v>53.2</v>
      </c>
      <c r="AC45" s="138">
        <f t="shared" si="10"/>
        <v>7.98</v>
      </c>
      <c r="AD45" s="138">
        <f t="shared" si="11"/>
        <v>228</v>
      </c>
      <c r="AE45" s="92">
        <f>AE33*($AK$46/$AK$34)</f>
        <v>2803.2999999999997</v>
      </c>
      <c r="AF45" s="274"/>
      <c r="AG45" s="96"/>
      <c r="AH45" s="274"/>
      <c r="AI45" s="97">
        <v>53.2</v>
      </c>
      <c r="AJ45" s="97">
        <v>7.98</v>
      </c>
      <c r="AK45" s="96">
        <v>228</v>
      </c>
      <c r="AL45" s="265">
        <f>((D45/Watts)/(($S$9-$S$10)*1.163))</f>
        <v>241.04041272570933</v>
      </c>
      <c r="AM45" s="134">
        <f t="shared" si="25"/>
        <v>4.9487298621162958</v>
      </c>
      <c r="AN45" s="134">
        <v>6.5250871001174002E-3</v>
      </c>
      <c r="AO45" s="134">
        <v>5.7852740858429998E-4</v>
      </c>
      <c r="AP45" s="136">
        <v>1.8056661148752</v>
      </c>
    </row>
    <row r="46" spans="2:179" ht="15" x14ac:dyDescent="0.25">
      <c r="B46" s="353" t="str">
        <f>IF($S$7=1,NL!A45,IF(cal!$S$7=2,EN!A45,IF(cal!$S$7=3,DE!A45,IF(cal!$S$7=4,FR!A45,IF(cal!$S$7=5,NR!A45,IF(cal!$S$7=6,SP!A45,IF(cal!$S$7=7,SW!A45,IF(cal!$S$7=8,TS!A45,IF(cal!$S$7=9,ExtraTaal1!A45,IF(cal!$S$7=10,ExtraTaal2!A45,IF(cal!$S$7=11,ExtraTaal3!A45,)))))))))))</f>
        <v>Micro Canal height 0 cm width 0 cm length 0 cm (Type 6)</v>
      </c>
      <c r="C46" s="354">
        <f>IF($S$7=1,NL!B45,IF(cal!$S$7=2,EN!B45,IF(cal!$S$7=3,DE!B45,IF(cal!$S$7=4,FR!B45,IF(cal!$S$7=5,NR!B45,IF(cal!$S$7=6,SP!B45,IF(cal!$S$7=7,SW!B45,IF(cal!$S$7=8,TS!B45,IF(cal!$S$7=9,ExtraTaal1!B45,IF(cal!$S$7=10,ExtraTaal2!B45,IF(cal!$S$7=11,ExtraTaal3!B45,)))))))))))</f>
        <v>0</v>
      </c>
      <c r="D46" s="354">
        <f>IF($S$7=1,NL!C45,IF(cal!$S$7=2,EN!C45,IF(cal!$S$7=3,DE!C45,IF(cal!$S$7=4,FR!C45,IF(cal!$S$7=5,NR!C45,IF(cal!$S$7=6,SP!C45,IF(cal!$S$7=7,SW!C45,IF(cal!$S$7=8,TS!C45,IF(cal!$S$7=9,ExtraTaal1!C45,IF(cal!$S$7=10,ExtraTaal2!C45,IF(cal!$S$7=11,ExtraTaal3!C45,)))))))))))</f>
        <v>0</v>
      </c>
      <c r="E46" s="354">
        <f>IF($S$7=1,NL!D45,IF(cal!$S$7=2,EN!D45,IF(cal!$S$7=3,DE!D45,IF(cal!$S$7=4,FR!D45,IF(cal!$S$7=5,NR!D45,IF(cal!$S$7=6,SP!D45,IF(cal!$S$7=7,SW!D45,IF(cal!$S$7=8,TS!D45,IF(cal!$S$7=9,ExtraTaal1!D45,IF(cal!$S$7=10,ExtraTaal2!D45,IF(cal!$S$7=11,ExtraTaal3!D45,)))))))))))</f>
        <v>0</v>
      </c>
      <c r="F46" s="354">
        <f>IF($S$7=1,NL!E45,IF(cal!$S$7=2,EN!E45,IF(cal!$S$7=3,DE!E45,IF(cal!$S$7=4,FR!E45,IF(cal!$S$7=5,NR!E45,IF(cal!$S$7=6,SP!E45,IF(cal!$S$7=7,SW!E45,IF(cal!$S$7=8,TS!E45,IF(cal!$S$7=9,ExtraTaal1!E45,IF(cal!$S$7=10,ExtraTaal2!E45,IF(cal!$S$7=11,ExtraTaal3!E45,)))))))))))</f>
        <v>0</v>
      </c>
      <c r="G46" s="354">
        <f>IF($S$7=1,NL!F45,IF(cal!$S$7=2,EN!F45,IF(cal!$S$7=3,DE!F45,IF(cal!$S$7=4,FR!F45,IF(cal!$S$7=5,NR!F45,IF(cal!$S$7=6,SP!F45,IF(cal!$S$7=7,SW!F45,IF(cal!$S$7=8,TS!F45,IF(cal!$S$7=9,ExtraTaal1!F45,IF(cal!$S$7=10,ExtraTaal2!F45,IF(cal!$S$7=11,ExtraTaal3!F45,)))))))))))</f>
        <v>0</v>
      </c>
      <c r="H46" s="354">
        <f>IF($S$7=1,NL!G45,IF(cal!$S$7=2,EN!G45,IF(cal!$S$7=3,DE!G45,IF(cal!$S$7=4,FR!G45,IF(cal!$S$7=5,NR!G45,IF(cal!$S$7=6,SP!G45,IF(cal!$S$7=7,SW!G45,IF(cal!$S$7=8,TS!G45,IF(cal!$S$7=9,ExtraTaal1!G45,IF(cal!$S$7=10,ExtraTaal2!G45,IF(cal!$S$7=11,ExtraTaal3!G45,)))))))))))</f>
        <v>0</v>
      </c>
      <c r="I46" s="354">
        <f>IF($S$7=1,NL!H45,IF(cal!$S$7=2,EN!H45,IF(cal!$S$7=3,DE!H45,IF(cal!$S$7=4,FR!H45,IF(cal!$S$7=5,NR!H45,IF(cal!$S$7=6,SP!H45,IF(cal!$S$7=7,SW!H45,IF(cal!$S$7=8,TS!H45,IF(cal!$S$7=9,ExtraTaal1!H45,IF(cal!$S$7=10,ExtraTaal2!H45,IF(cal!$S$7=11,ExtraTaal3!H45,)))))))))))</f>
        <v>0</v>
      </c>
      <c r="J46" s="354">
        <f>IF($S$7=1,NL!I45,IF(cal!$S$7=2,EN!I45,IF(cal!$S$7=3,DE!I45,IF(cal!$S$7=4,FR!I45,IF(cal!$S$7=5,NR!I45,IF(cal!$S$7=6,SP!I45,IF(cal!$S$7=7,SW!I45,IF(cal!$S$7=8,TS!I45,IF(cal!$S$7=9,ExtraTaal1!I45,IF(cal!$S$7=10,ExtraTaal2!I45,IF(cal!$S$7=11,ExtraTaal3!I45,)))))))))))</f>
        <v>0</v>
      </c>
      <c r="K46" s="354">
        <f>IF($S$7=1,NL!J45,IF(cal!$S$7=2,EN!J45,IF(cal!$S$7=3,DE!J45,IF(cal!$S$7=4,FR!J45,IF(cal!$S$7=5,NR!J45,IF(cal!$S$7=6,SP!J45,IF(cal!$S$7=7,SW!J45,IF(cal!$S$7=8,TS!J45,IF(cal!$S$7=9,ExtraTaal1!J45,IF(cal!$S$7=10,ExtraTaal2!J45,IF(cal!$S$7=11,ExtraTaal3!J45,)))))))))))</f>
        <v>0</v>
      </c>
      <c r="L46" s="354">
        <f>IF($S$7=1,NL!K45,IF(cal!$S$7=2,EN!K45,IF(cal!$S$7=3,DE!K45,IF(cal!$S$7=4,FR!K45,IF(cal!$S$7=5,NR!K45,IF(cal!$S$7=6,SP!K45,IF(cal!$S$7=7,SW!K45,IF(cal!$S$7=8,TS!K45,IF(cal!$S$7=9,ExtraTaal1!K45,IF(cal!$S$7=10,ExtraTaal2!K45,IF(cal!$S$7=11,ExtraTaal3!K45,)))))))))))</f>
        <v>0</v>
      </c>
      <c r="M46" s="354">
        <f>IF($S$7=1,NL!L45,IF(cal!$S$7=2,EN!L45,IF(cal!$S$7=3,DE!L45,IF(cal!$S$7=4,FR!L45,IF(cal!$S$7=5,NR!L45,IF(cal!$S$7=6,SP!L45,IF(cal!$S$7=7,SW!L45,IF(cal!$S$7=8,TS!L45,IF(cal!$S$7=9,ExtraTaal1!L45,IF(cal!$S$7=10,ExtraTaal2!L45,IF(cal!$S$7=11,ExtraTaal3!L45,)))))))))))</f>
        <v>0</v>
      </c>
      <c r="N46" s="354">
        <f>IF($S$7=1,NL!M45,IF(cal!$S$7=2,EN!M45,IF(cal!$S$7=3,DE!M45,IF(cal!$S$7=4,FR!M45,IF(cal!$S$7=5,NR!M45,IF(cal!$S$7=6,SP!M45,IF(cal!$S$7=7,SW!M45,IF(cal!$S$7=8,TS!M45,IF(cal!$S$7=9,ExtraTaal1!M45,IF(cal!$S$7=10,ExtraTaal2!M45,IF(cal!$S$7=11,ExtraTaal3!M45,)))))))))))</f>
        <v>0</v>
      </c>
      <c r="O46" s="354">
        <f>IF($S$7=1,NL!N45,IF(cal!$S$7=2,EN!N45,IF(cal!$S$7=3,DE!N45,IF(cal!$S$7=4,FR!N45,IF(cal!$S$7=5,NR!N45,IF(cal!$S$7=6,SP!N45,IF(cal!$S$7=7,SW!N45,IF(cal!$S$7=8,TS!N45,IF(cal!$S$7=9,ExtraTaal1!N45,IF(cal!$S$7=10,ExtraTaal2!N45,IF(cal!$S$7=11,ExtraTaal3!N45,)))))))))))</f>
        <v>0</v>
      </c>
      <c r="P46" s="355">
        <f>IF($S$7=1,NL!O45,IF(cal!$S$7=2,EN!O45,IF(cal!$S$7=3,DE!O45,IF(cal!$S$7=4,FR!O45,IF(cal!$S$7=5,NR!O45,IF(cal!$S$7=6,SP!O45,IF(cal!$S$7=7,SW!O45,IF(cal!$S$7=8,TS!O45,IF(cal!$S$7=9,ExtraTaal1!O45,IF(cal!$S$7=10,ExtraTaal2!O45,IF(cal!$S$7=11,ExtraTaal3!O45,)))))))))))</f>
        <v>0</v>
      </c>
      <c r="Q46" s="199" t="s">
        <v>11</v>
      </c>
      <c r="R46" s="189" t="str">
        <f t="shared" si="2"/>
        <v>n-value</v>
      </c>
      <c r="S46" s="187" t="s">
        <v>11</v>
      </c>
      <c r="T46" s="187" t="s">
        <v>11</v>
      </c>
      <c r="U46" s="188" t="s">
        <v>11</v>
      </c>
      <c r="V46" s="187" t="s">
        <v>11</v>
      </c>
      <c r="W46" s="275"/>
      <c r="X46" s="144" t="str">
        <f t="shared" si="6"/>
        <v>H</v>
      </c>
      <c r="Y46" s="276">
        <v>6</v>
      </c>
      <c r="Z46" s="144" t="str">
        <f t="shared" ref="Z46" si="26">IF($X$16=1,AG46,IF($X$16=2,AS46,IF($X$16=3,BR46,IF($X$16=4,BK46,IF($X$16=5,CG46,IF($X$16=6,BZ46,IF($X$16=7,BD46,)))))))</f>
        <v>B</v>
      </c>
      <c r="AA46" s="276">
        <v>14</v>
      </c>
      <c r="AB46" s="144" t="str">
        <f t="shared" ref="AB46" si="27">IF($X$16=1,AI46,IF($X$16=2,AU46,IF($X$16=3,BT46,IF($X$16=4,BM46,IF($X$16=5,CI46,IF($X$16=6,CB46,IF($X$16=7,BF46,)))))))</f>
        <v>L</v>
      </c>
      <c r="AC46" s="147">
        <f t="shared" ref="AC46" si="28">IF($X$16=1,AJ46,IF($X$16=2,AV46,IF($X$16=3,BU46,IF($X$16=4,BN46,IF($X$16=5,CJ46,IF($X$16=6,CC46,IF($X$16=7,BG46,)))))))</f>
        <v>200</v>
      </c>
      <c r="AD46" s="149">
        <f t="shared" ref="AD46" si="29">IF($X$16=1,AK46,IF($X$16=2,AW46,IF($X$16=3,BV46,IF($X$16=4,BO46,IF($X$16=5,CK46,IF($X$16=6,CD46,IF($X$16=7,BH46,)))))))</f>
        <v>170</v>
      </c>
      <c r="AE46" s="99" t="s">
        <v>61</v>
      </c>
      <c r="AF46" s="151">
        <v>6</v>
      </c>
      <c r="AG46" s="99" t="s">
        <v>62</v>
      </c>
      <c r="AH46" s="151">
        <f>AH40</f>
        <v>14</v>
      </c>
      <c r="AI46" s="99" t="s">
        <v>63</v>
      </c>
      <c r="AJ46" s="286">
        <f>200*IF($X$4=1,1,IF($X$4=2,1/2.54))</f>
        <v>200</v>
      </c>
      <c r="AK46" s="266">
        <v>170</v>
      </c>
      <c r="AL46" s="284">
        <v>200</v>
      </c>
      <c r="AM46" s="282">
        <f t="shared" si="12"/>
        <v>0.96671046864459054</v>
      </c>
      <c r="AN46" s="282">
        <v>6.5250871001174002E-3</v>
      </c>
      <c r="AO46" s="282">
        <v>5.7852740858429998E-4</v>
      </c>
      <c r="AP46" s="283">
        <v>1.8056661148752</v>
      </c>
    </row>
    <row r="47" spans="2:179" ht="15" x14ac:dyDescent="0.25">
      <c r="B47" s="76" t="str">
        <f>IF($S$7=1,NL!A69,IF(cal!$S$7=2,EN!A69,IF(cal!$S$7=3,DE!A69,IF(cal!$S$7=4,FR!A69,IF(cal!$S$7=5,NR!A69,IF(cal!$S$7=6,SP!A69,IF(cal!$S$7=7,SW!A69,IF(cal!$S$7=8,TS!A69,IF(cal!$S$7=9,ExtraTaal1!A69,IF(cal!$S$7=10,ExtraTaal2!A69,IF(cal!$S$7=11,ExtraTaal3!A69,)))))))))))</f>
        <v>*Values according to EN 16430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</row>
    <row r="48" spans="2:179" ht="15" x14ac:dyDescent="0.25">
      <c r="B48" s="76" t="str">
        <f>IF($S$7=1,NL!A70,IF(cal!$S$7=2,EN!A70,IF(cal!$S$7=3,DE!A70,IF(cal!$S$7=4,FR!A70,IF(cal!$S$7=5,NR!A70,IF(cal!$S$7=6,SP!A70,IF(cal!$S$7=7,SW!A70,IF(cal!$S$7=8,TS!A70,IF(cal!$S$7=9,ExtraTaal1!A70,IF(cal!$S$7=10,ExtraTaal2!A70,IF(cal!$S$7=11,ExtraTaal3!A70,)))))))))))</f>
        <v>**Sound power according to ISO 3741:2010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9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</row>
    <row r="49" spans="2:179" ht="15" x14ac:dyDescent="0.25">
      <c r="B49" s="76" t="str">
        <f>IF($S$7=1,NL!A71,IF(cal!$S$7=2,EN!A71,IF(cal!$S$7=3,DE!A71,IF(cal!$S$7=4,FR!A71,IF(cal!$S$7=5,NR!A71,IF(cal!$S$7=6,SP!A71,IF(cal!$S$7=7,SW!A71,IF(cal!$S$7=8,TS!A71,IF(cal!$S$7=9,ExtraTaal1!A71,IF(cal!$S$7=10,ExtraTaal2!A71,IF(cal!$S$7=11,ExtraTaal3!A71,)))))))))))</f>
        <v>***Sound pressure with an assumed room damping of 8dB(A)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9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</row>
    <row r="50" spans="2:179" ht="15" x14ac:dyDescent="0.25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9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</row>
    <row r="51" spans="2:179" ht="15" x14ac:dyDescent="0.25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9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</row>
    <row r="52" spans="2:179" ht="15" x14ac:dyDescent="0.25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100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</row>
    <row r="53" spans="2:179" ht="15" x14ac:dyDescent="0.25"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9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</row>
    <row r="54" spans="2:179" ht="15" x14ac:dyDescent="0.25"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9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</row>
    <row r="55" spans="2:179" ht="15" x14ac:dyDescent="0.25"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9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</row>
    <row r="56" spans="2:179" ht="15" x14ac:dyDescent="0.25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9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</row>
    <row r="57" spans="2:179" ht="15" x14ac:dyDescent="0.25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9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</row>
    <row r="58" spans="2:179" ht="15" x14ac:dyDescent="0.25"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100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</row>
    <row r="59" spans="2:179" ht="15" x14ac:dyDescent="0.25"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9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</row>
    <row r="60" spans="2:179" ht="15" x14ac:dyDescent="0.25"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9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</row>
    <row r="61" spans="2:179" ht="15" x14ac:dyDescent="0.25"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9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</row>
    <row r="62" spans="2:179" ht="15" x14ac:dyDescent="0.25"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9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</row>
    <row r="63" spans="2:179" ht="15" x14ac:dyDescent="0.25"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9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</row>
    <row r="64" spans="2:179" ht="16.899999999999999" customHeight="1" x14ac:dyDescent="0.25"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100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</row>
    <row r="65" spans="2:179" ht="15" x14ac:dyDescent="0.25"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9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</row>
    <row r="66" spans="2:179" ht="15" x14ac:dyDescent="0.25"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9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</row>
    <row r="67" spans="2:179" ht="15" x14ac:dyDescent="0.25"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9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</row>
    <row r="68" spans="2:179" ht="15" x14ac:dyDescent="0.25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9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</row>
    <row r="69" spans="2:179" ht="15" x14ac:dyDescent="0.25"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9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</row>
    <row r="70" spans="2:179" ht="9.4" customHeight="1" x14ac:dyDescent="0.25"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 t="s">
        <v>243</v>
      </c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100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</row>
    <row r="71" spans="2:179" ht="9.4" customHeight="1" x14ac:dyDescent="0.25"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</row>
    <row r="72" spans="2:179" ht="9" customHeight="1" x14ac:dyDescent="0.25"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62"/>
    </row>
    <row r="73" spans="2:179" s="50" customFormat="1" ht="16.149999999999999" hidden="1" customHeight="1" x14ac:dyDescent="0.25">
      <c r="X73" s="77"/>
      <c r="Y73" s="77"/>
      <c r="Z73" s="77"/>
      <c r="AA73" s="77"/>
      <c r="AB73" s="77"/>
      <c r="AC73" s="77"/>
    </row>
    <row r="74" spans="2:179" ht="15" hidden="1" customHeight="1" x14ac:dyDescent="0.25"/>
    <row r="75" spans="2:179" ht="15" hidden="1" customHeight="1" x14ac:dyDescent="0.25"/>
    <row r="76" spans="2:179" ht="15" hidden="1" customHeight="1" x14ac:dyDescent="0.25"/>
    <row r="77" spans="2:179" ht="15" hidden="1" customHeight="1" x14ac:dyDescent="0.25"/>
    <row r="78" spans="2:179" ht="15" hidden="1" customHeight="1" x14ac:dyDescent="0.25"/>
    <row r="79" spans="2:179" ht="15" hidden="1" customHeight="1" x14ac:dyDescent="0.25"/>
    <row r="80" spans="2:179" ht="15" hidden="1" customHeight="1" x14ac:dyDescent="0.25"/>
  </sheetData>
  <sheetProtection selectLockedCells="1"/>
  <dataConsolidate/>
  <mergeCells count="19">
    <mergeCell ref="AE16:AK16"/>
    <mergeCell ref="X16:AD16"/>
    <mergeCell ref="B34:P34"/>
    <mergeCell ref="B28:P28"/>
    <mergeCell ref="B22:P22"/>
    <mergeCell ref="B16:P16"/>
    <mergeCell ref="B46:P46"/>
    <mergeCell ref="B40:P40"/>
    <mergeCell ref="M7:N7"/>
    <mergeCell ref="M8:N8"/>
    <mergeCell ref="O7:P7"/>
    <mergeCell ref="O8:P8"/>
    <mergeCell ref="M9:N9"/>
    <mergeCell ref="B9:D9"/>
    <mergeCell ref="G9:J9"/>
    <mergeCell ref="B10:D10"/>
    <mergeCell ref="G10:J10"/>
    <mergeCell ref="B11:D11"/>
    <mergeCell ref="G11:J11"/>
  </mergeCells>
  <phoneticPr fontId="41" type="noConversion"/>
  <dataValidations disablePrompts="1" count="3">
    <dataValidation type="whole" errorStyle="information" allowBlank="1" prompt="Eingabe zwischen 5°C bis 20°C" sqref="K9:K11" xr:uid="{00000000-0002-0000-0100-000000000000}">
      <formula1>5</formula1>
      <formula2>20</formula2>
    </dataValidation>
    <dataValidation type="decimal" errorStyle="information" allowBlank="1" prompt="20°C bis 35°C" sqref="K12 E12" xr:uid="{00000000-0002-0000-0100-000001000000}">
      <formula1>0.3</formula1>
      <formula2>0.8</formula2>
    </dataValidation>
    <dataValidation allowBlank="1" showInputMessage="1" sqref="E9:E11" xr:uid="{00000000-0002-0000-0100-000002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>&amp;L&amp;G&amp;C&amp;16&amp;K00-040CLIMA CANAL  AUSLEGUNG
Heizen &amp; Kühlen</oddHeader>
    <oddFooter>&amp;C&amp;8JAGA Deutschland GmbH • Neuer Zollhof 1 • 40221 Düsseldorf  • T +49 (0) 211 310 27 30 • info@jaga.de • www.jaga-deutschland.de_x000D_KBC Iban: DE58 3052 4400 0000 2837 88  • Bic: KREDDEDDXXX  • Amtsgericht Düsseldorf  • HRB32157 • UST Nr: DE174665903</oddFooter>
  </headerFooter>
  <ignoredErrors>
    <ignoredError sqref="S11 X9:X10 E10:E11 K12" unlockedFormula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R78"/>
  <sheetViews>
    <sheetView topLeftCell="A49" workbookViewId="0">
      <selection activeCell="M69" sqref="M69"/>
    </sheetView>
  </sheetViews>
  <sheetFormatPr defaultColWidth="11.42578125" defaultRowHeight="15" zero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24" t="s">
        <v>19</v>
      </c>
      <c r="B2" s="23"/>
    </row>
    <row r="3" spans="1:18" s="3" customFormat="1" x14ac:dyDescent="0.25">
      <c r="A3" s="22"/>
    </row>
    <row r="4" spans="1:18" s="3" customFormat="1" x14ac:dyDescent="0.25">
      <c r="A4" s="29" t="s">
        <v>18</v>
      </c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3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133</v>
      </c>
      <c r="M6" s="383"/>
    </row>
    <row r="7" spans="1:18" ht="15.75" thickBot="1" x14ac:dyDescent="0.3">
      <c r="A7" s="13" t="s">
        <v>12</v>
      </c>
      <c r="B7" s="8"/>
      <c r="C7" s="8"/>
      <c r="D7" s="8"/>
      <c r="E7" s="8"/>
      <c r="F7" s="9" t="s">
        <v>13</v>
      </c>
      <c r="G7" s="9"/>
      <c r="H7" s="9"/>
      <c r="I7" s="8"/>
      <c r="J7" s="8"/>
      <c r="K7" s="8"/>
      <c r="L7" s="384"/>
      <c r="M7" s="385"/>
      <c r="Q7" s="1" t="s">
        <v>157</v>
      </c>
    </row>
    <row r="8" spans="1:18" ht="15.75" thickBot="1" x14ac:dyDescent="0.3">
      <c r="A8" s="378" t="str">
        <f>"Aanvoertemp."</f>
        <v>Aanvoertemp.</v>
      </c>
      <c r="B8" s="379"/>
      <c r="C8" s="379"/>
      <c r="D8" s="88">
        <f>cal!E9</f>
        <v>75</v>
      </c>
      <c r="E8" s="49" t="str">
        <f>IF(cal!$X$4=1,"°C",IF(cal!$X$4=2,"°F"))</f>
        <v>°C</v>
      </c>
      <c r="F8" s="379" t="str">
        <f>A8</f>
        <v>Aanvoertemp.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102</v>
      </c>
      <c r="M8" s="381"/>
      <c r="Q8" s="1" t="s">
        <v>158</v>
      </c>
    </row>
    <row r="9" spans="1:18" ht="15.75" thickTop="1" x14ac:dyDescent="0.25">
      <c r="A9" s="378" t="str">
        <f>"Retourtemp."</f>
        <v>Retourtemp.</v>
      </c>
      <c r="B9" s="379"/>
      <c r="C9" s="379"/>
      <c r="D9" s="88">
        <f>cal!E10</f>
        <v>65</v>
      </c>
      <c r="E9" s="49" t="str">
        <f>E8</f>
        <v>°C</v>
      </c>
      <c r="F9" s="379" t="str">
        <f>A9</f>
        <v>Retourtemp.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159</v>
      </c>
    </row>
    <row r="10" spans="1:18" x14ac:dyDescent="0.25">
      <c r="A10" s="378" t="str">
        <f>"Ruimtetemp."</f>
        <v>Ruimtetemp.</v>
      </c>
      <c r="B10" s="379"/>
      <c r="C10" s="379"/>
      <c r="D10" s="88">
        <f>cal!E11</f>
        <v>20</v>
      </c>
      <c r="E10" s="49" t="str">
        <f>E8</f>
        <v>°C</v>
      </c>
      <c r="F10" s="379" t="str">
        <f>A10</f>
        <v>Ruimtetemp.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141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27" t="s">
        <v>17</v>
      </c>
      <c r="B14" s="20" t="s">
        <v>14</v>
      </c>
      <c r="C14" s="27" t="str">
        <f>CONCATENATE("Warmteafgifte * ",ROUND(D8,0),"/",ROUND(D9,0),"/",ROUND(D10,0)," ["&amp;IF(cal!$X$4=1,"W",IF(cal!$X$4=2,"Btu/h"))&amp;"]")</f>
        <v>Warmteafgifte * 75/65/20 [W]</v>
      </c>
      <c r="D14" s="30" t="str">
        <f>"Waterdebiet, verwarming ["&amp;IF(cal!$X$4=1,"l/h",IF(cal!$X$4=2,"GPM"))&amp;"]"</f>
        <v>Waterdebiet, verwarming [l/h]</v>
      </c>
      <c r="E14" s="33" t="str">
        <f>"Waterzijdig drukverlies ["&amp;IF(cal!$X$4=1,"kPa",IF(cal!$X$4=2,"ftH2O"))&amp;"]"</f>
        <v>Waterzijdig drukverlies [kPa]</v>
      </c>
      <c r="F14" s="20" t="str">
        <f>CONCATENATE("Voelb. Koelcapaciteit * ",ROUND(J8,0),"/",,ROUND(J9,0),"/",,ROUND(J10,0)," ["&amp;IF(cal!$X$4=1,"W",IF(cal!$X$4=2,"Btu/h"))&amp;"]")</f>
        <v>Voelb. Koelcapaciteit * 0/0/0 [W]</v>
      </c>
      <c r="G14" s="20" t="str">
        <f>CONCATENATE("Tot. koelcapaciteit ",,ROUND(J8,0),"/",,ROUND(J9,0),"/",,ROUND(J10,0)," ["&amp;IF(cal!$X$4=1,"W",IF(cal!$X$4=2,"Btu/h"))&amp;"]")</f>
        <v>Tot. koelcapaciteit 0/0/0 [W]</v>
      </c>
      <c r="H14" s="20" t="str">
        <f>"Waterdebiet, koeling ["&amp;IF(cal!$X$4=1,"l/h",IF(cal!$X$4=2,"GPM"))&amp;"]"</f>
        <v>Waterdebiet, koeling [l/h]</v>
      </c>
      <c r="I14" s="21" t="str">
        <f>"Waterzijdig drukverlies ["&amp;IF(cal!$X$4=1,"kPa",IF(cal!$X$4=2,"ftH2O"))&amp;"]"</f>
        <v>Waterzijdig drukverlies [kPa]</v>
      </c>
      <c r="J14" s="27" t="s">
        <v>15</v>
      </c>
      <c r="K14" s="32" t="s">
        <v>42</v>
      </c>
      <c r="L14" s="20" t="s">
        <v>16</v>
      </c>
      <c r="M14" s="26" t="str">
        <f>"Luchtdebiet ["&amp;IF(cal!$X$4=1,"m³/h",IF(cal!$X$4=2,"CFM"))&amp;"]"</f>
        <v>Luchtdebiet [m³/h]</v>
      </c>
      <c r="N14" s="191" t="str">
        <f>"Uitblaastemp. verwarming ["&amp;IF(cal!$X$4=1,"°C",IF(cal!$X$4=2,"°F"))&amp;"]"</f>
        <v>Uitblaastemp. verwarming [°C]</v>
      </c>
      <c r="O14" s="192" t="str">
        <f>"Uitblaastemp. koeling ["&amp;IF(cal!$X$4=1,"°C",IF(cal!$X$4=2,"°F"))&amp;"]"</f>
        <v>Uitblaastemp. koeling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</f>
        <v>Micro Canal hoogte 6 cm breedte 14 cm lengte 60 cm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89</v>
      </c>
      <c r="R15" s="113" t="s">
        <v>130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90</v>
      </c>
      <c r="R16" s="113" t="s">
        <v>131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91</v>
      </c>
      <c r="R17" s="113" t="s">
        <v>132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</f>
        <v>Micro Canal hoogte 6 cm breedte 14 cm lengte 95 cm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</f>
        <v>Micro Canal hoogte 6 cm breedte 14 cm lengte 130 cm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</f>
        <v>Micro Canal hoogte 6 cm breedte 14 cm lengte 165 cm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8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</f>
        <v>Micro Canal hoogte 6 cm breedte 14 cm lengte 200 cm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Micro Canal hoogte 0 cm breedte 0 cm lengte 0 cm (Type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8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Micro Canal hoogte 0 cm breedte 0 cm lengte 0 cm (Type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Micro Canal hoogte 0 cm breedte 0 cm lengte 0 cm (Type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6.899999999999999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Micro Canal hoogte 0 cm breedte 0 cm lengte 0 cm (Type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4" customHeight="1" x14ac:dyDescent="0.25">
      <c r="A69" s="7" t="s">
        <v>57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4" customHeight="1" x14ac:dyDescent="0.25">
      <c r="A70" s="7" t="s">
        <v>20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4" customHeight="1" x14ac:dyDescent="0.25">
      <c r="A71" s="7" t="s">
        <v>21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s="3" customFormat="1" ht="16.149999999999999" hidden="1" customHeight="1" x14ac:dyDescent="0.25"/>
    <row r="73" spans="1:13" x14ac:dyDescent="0.25"/>
    <row r="74" spans="1:13" x14ac:dyDescent="0.25"/>
    <row r="75" spans="1:13" x14ac:dyDescent="0.25"/>
    <row r="76" spans="1:13" x14ac:dyDescent="0.25"/>
    <row r="77" spans="1:13" x14ac:dyDescent="0.25"/>
    <row r="78" spans="1:13" x14ac:dyDescent="0.25"/>
  </sheetData>
  <sheetProtection selectLockedCells="1"/>
  <mergeCells count="19">
    <mergeCell ref="L6:M6"/>
    <mergeCell ref="L7:M7"/>
    <mergeCell ref="F11:H11"/>
    <mergeCell ref="A15:M15"/>
    <mergeCell ref="A21:M21"/>
    <mergeCell ref="A51:M51"/>
    <mergeCell ref="A63:M63"/>
    <mergeCell ref="A8:C8"/>
    <mergeCell ref="F8:I8"/>
    <mergeCell ref="A9:C9"/>
    <mergeCell ref="F9:I9"/>
    <mergeCell ref="A10:C10"/>
    <mergeCell ref="F10:I10"/>
    <mergeCell ref="A27:M27"/>
    <mergeCell ref="A33:M33"/>
    <mergeCell ref="A39:M39"/>
    <mergeCell ref="A45:M45"/>
    <mergeCell ref="A57:M57"/>
    <mergeCell ref="L8:M8"/>
  </mergeCells>
  <dataValidations disablePrompts="1" count="7">
    <dataValidation type="decimal" errorStyle="information" allowBlank="1" showErrorMessage="1" error="Eingabe außerhalb des gültigen Bereichs." prompt="20°C bis 35°C" sqref="J11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2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2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R71"/>
  <sheetViews>
    <sheetView workbookViewId="0">
      <selection activeCell="I14" sqref="I14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24" t="s">
        <v>33</v>
      </c>
      <c r="B2" s="23"/>
    </row>
    <row r="3" spans="1:18" s="3" customFormat="1" x14ac:dyDescent="0.25">
      <c r="A3" s="22"/>
    </row>
    <row r="4" spans="1:18" s="3" customFormat="1" x14ac:dyDescent="0.25">
      <c r="A4" s="29" t="s">
        <v>31</v>
      </c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3" t="s">
        <v>22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134</v>
      </c>
      <c r="M6" s="383"/>
    </row>
    <row r="7" spans="1:18" ht="15.75" thickBot="1" x14ac:dyDescent="0.3">
      <c r="A7" s="13" t="s">
        <v>23</v>
      </c>
      <c r="B7" s="8"/>
      <c r="C7" s="8"/>
      <c r="D7" s="8"/>
      <c r="E7" s="8"/>
      <c r="F7" s="9" t="s">
        <v>24</v>
      </c>
      <c r="G7" s="9"/>
      <c r="H7" s="9"/>
      <c r="I7" s="8"/>
      <c r="J7" s="8"/>
      <c r="K7" s="8"/>
      <c r="L7" s="384"/>
      <c r="M7" s="385"/>
      <c r="Q7" s="1" t="s">
        <v>160</v>
      </c>
    </row>
    <row r="8" spans="1:18" ht="15.75" thickBot="1" x14ac:dyDescent="0.3">
      <c r="A8" s="378" t="str">
        <f>"Inlet temp."</f>
        <v>Inlet temp.</v>
      </c>
      <c r="B8" s="379"/>
      <c r="C8" s="379"/>
      <c r="D8" s="88">
        <f>cal!E9</f>
        <v>75</v>
      </c>
      <c r="E8" s="160" t="str">
        <f>IF(cal!$X$4=1,"°C",IF(cal!$X$4=2,"°F"))</f>
        <v>°C</v>
      </c>
      <c r="F8" s="379" t="str">
        <f>A8</f>
        <v>Inlet temp.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103</v>
      </c>
      <c r="M8" s="381"/>
      <c r="Q8" s="1" t="s">
        <v>161</v>
      </c>
    </row>
    <row r="9" spans="1:18" ht="15.75" thickTop="1" x14ac:dyDescent="0.25">
      <c r="A9" s="378" t="str">
        <f>"Return temp."</f>
        <v>Return temp.</v>
      </c>
      <c r="B9" s="379"/>
      <c r="C9" s="379"/>
      <c r="D9" s="88">
        <f>cal!E10</f>
        <v>65</v>
      </c>
      <c r="E9" s="160" t="str">
        <f>E8</f>
        <v>°C</v>
      </c>
      <c r="F9" s="379" t="str">
        <f>A9</f>
        <v>Return temp.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162</v>
      </c>
    </row>
    <row r="10" spans="1:18" x14ac:dyDescent="0.25">
      <c r="A10" s="378" t="str">
        <f>"Room temp."</f>
        <v>Room temp.</v>
      </c>
      <c r="B10" s="379"/>
      <c r="C10" s="379"/>
      <c r="D10" s="88">
        <f>cal!E11</f>
        <v>20</v>
      </c>
      <c r="E10" s="160" t="str">
        <f>E8</f>
        <v>°C</v>
      </c>
      <c r="F10" s="379" t="str">
        <f>A10</f>
        <v>Room temp.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142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27" t="s">
        <v>25</v>
      </c>
      <c r="B14" s="20" t="s">
        <v>26</v>
      </c>
      <c r="C14" s="27" t="str">
        <f>CONCATENATE("Heat output * ",ROUND(D8,0),"/",ROUND(D9,0),"/",ROUND(D10,0)," ["&amp;IF(cal!$X$4=1,"W",IF(cal!$X$4=2,"Btu/h"))&amp;"]")</f>
        <v>Heat output * 75/65/20 [W]</v>
      </c>
      <c r="D14" s="30" t="str">
        <f>"Water flowrate, heating ["&amp;IF(cal!$X$4=1,"l/h",IF(cal!$X$4=2,"GPM"))&amp;"]"</f>
        <v>Water flowrate, heating [l/h]</v>
      </c>
      <c r="E14" s="33" t="str">
        <f>"Watersided pressure loss ["&amp;IF(cal!$X$4=1,"kPa",IF(cal!$X$4=2,"ftH2O"))&amp;"]"</f>
        <v>Watersided pressure loss [kPa]</v>
      </c>
      <c r="F14" s="20" t="str">
        <f>CONCATENATE("Sens. cooling capacity * ",ROUND(J8,0),"/",ROUND(J9,0),"/",ROUND(J10,0)," ["&amp;IF(cal!$X$4=1,"W",IF(cal!$X$4=2,"Btu/h"))&amp;"]")</f>
        <v>Sens. cooling capacity * 0/0/0 [W]</v>
      </c>
      <c r="G14" s="20" t="str">
        <f>CONCATENATE("Tot. cooling capacity ",ROUND(J8,0),"/",ROUND(J9,0),"/",ROUND(J10,0)," ["&amp;IF(cal!$X$4=1,"W",IF(cal!$X$4=2,"Btu/h"))&amp;"]")</f>
        <v>Tot. cooling capacity 0/0/0 [W]</v>
      </c>
      <c r="H14" s="20" t="str">
        <f>"Water flowrate, cooling ["&amp;IF(cal!$X$4=1,"l/h",IF(cal!$X$4=2,"GPM"))&amp;"]"</f>
        <v>Water flowrate, cooling [l/h]</v>
      </c>
      <c r="I14" s="21" t="str">
        <f>"Watersided pressure loss ["&amp;IF(cal!$X$4=1,"kPa",IF(cal!$X$4=2,"ftH2O"))&amp;"]"</f>
        <v>Watersided pressure loss [kPa]</v>
      </c>
      <c r="J14" s="27" t="s">
        <v>27</v>
      </c>
      <c r="K14" s="32" t="s">
        <v>43</v>
      </c>
      <c r="L14" s="20" t="s">
        <v>28</v>
      </c>
      <c r="M14" s="26" t="str">
        <f>"Air flowrate ["&amp;IF(cal!$X$4=1,"m³/h",IF(cal!$X$4=2,"CFM"))&amp;"]"</f>
        <v>Air flowrate [m³/h]</v>
      </c>
      <c r="N14" s="191" t="str">
        <f>"Air exhaust temp. heating ["&amp;IF(cal!$X$4=1,"°C",IF(cal!$X$4=2,"°F"))&amp;"]"</f>
        <v>Air exhaust temp. heating [°C]</v>
      </c>
      <c r="O14" s="192" t="str">
        <f>"Air exhaust temp. cooling ["&amp;IF(cal!$X$4=1,"°C",IF(cal!$X$4=2,"°F"))&amp;"]"</f>
        <v>Air exhaust temp. cooling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Micro Canal height 6 cm width 14 cm length 60 cm (Type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89</v>
      </c>
      <c r="R15" s="113" t="s">
        <v>127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92</v>
      </c>
      <c r="R16" s="113" t="s">
        <v>128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93</v>
      </c>
      <c r="R17" s="113" t="s">
        <v>129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Micro Canal height 6 cm width 14 cm length 95 cm (Type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Micro Canal height 6 cm width 14 cm length 130 cm (Type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Micro Canal height 6 cm width 14 cm length 165 cm (Type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ht="15" customHeight="1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Micro Canal height 6 cm width 14 cm length 200 cm (Type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ht="15" customHeight="1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Micro Canal height 0 cm width 0 cm length 0 cm (Type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Micro Canal height 0 cm width 0 cm length 0 cm (Type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Micro Canal height 0 cm width 0 cm length 0 cm (Type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Micro Canal height 0 cm width 0 cm length 0 cm (Type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58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29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30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19"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3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3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R71"/>
  <sheetViews>
    <sheetView workbookViewId="0">
      <selection activeCell="A15" sqref="A15:M15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24" t="s">
        <v>3</v>
      </c>
      <c r="B2" s="23"/>
    </row>
    <row r="3" spans="1:18" s="3" customFormat="1" x14ac:dyDescent="0.25">
      <c r="A3" s="22"/>
    </row>
    <row r="4" spans="1:18" s="3" customFormat="1" x14ac:dyDescent="0.25">
      <c r="A4" s="29" t="s">
        <v>5</v>
      </c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3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135</v>
      </c>
      <c r="M6" s="383"/>
    </row>
    <row r="7" spans="1:18" ht="15.75" thickBot="1" x14ac:dyDescent="0.3">
      <c r="A7" s="13" t="s">
        <v>2</v>
      </c>
      <c r="B7" s="8"/>
      <c r="C7" s="8"/>
      <c r="D7" s="8"/>
      <c r="E7" s="8"/>
      <c r="F7" s="9" t="s">
        <v>10</v>
      </c>
      <c r="G7" s="9"/>
      <c r="H7" s="9"/>
      <c r="I7" s="8"/>
      <c r="J7" s="8"/>
      <c r="K7" s="8"/>
      <c r="L7" s="384"/>
      <c r="M7" s="385"/>
      <c r="Q7" s="1" t="s">
        <v>163</v>
      </c>
    </row>
    <row r="8" spans="1:18" ht="15.75" thickBot="1" x14ac:dyDescent="0.3">
      <c r="A8" s="378" t="str">
        <f>"Vorlauftemp."</f>
        <v>Vorlauftemp.</v>
      </c>
      <c r="B8" s="379"/>
      <c r="C8" s="379"/>
      <c r="D8" s="88">
        <f>cal!E9</f>
        <v>75</v>
      </c>
      <c r="E8" s="160" t="str">
        <f>IF(cal!$X$4=1,"°C",IF(cal!$X$4=2,"°F"))</f>
        <v>°C</v>
      </c>
      <c r="F8" s="379" t="str">
        <f>A8</f>
        <v>Vorlauftemp.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104</v>
      </c>
      <c r="M8" s="381"/>
      <c r="Q8" s="1" t="s">
        <v>164</v>
      </c>
    </row>
    <row r="9" spans="1:18" ht="15.75" thickTop="1" x14ac:dyDescent="0.25">
      <c r="A9" s="378" t="str">
        <f>"Rücklauftemp."</f>
        <v>Rücklauftemp.</v>
      </c>
      <c r="B9" s="379"/>
      <c r="C9" s="379"/>
      <c r="D9" s="88">
        <f>cal!E10</f>
        <v>65</v>
      </c>
      <c r="E9" s="160" t="str">
        <f>E8</f>
        <v>°C</v>
      </c>
      <c r="F9" s="379" t="str">
        <f>A9</f>
        <v>Rücklauftemp.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165</v>
      </c>
    </row>
    <row r="10" spans="1:18" x14ac:dyDescent="0.25">
      <c r="A10" s="378" t="str">
        <f>"Raumtemp."</f>
        <v>Raumtemp.</v>
      </c>
      <c r="B10" s="379"/>
      <c r="C10" s="379"/>
      <c r="D10" s="88">
        <f>cal!E11</f>
        <v>20</v>
      </c>
      <c r="E10" s="160" t="str">
        <f>E8</f>
        <v>°C</v>
      </c>
      <c r="F10" s="379" t="str">
        <f>A10</f>
        <v>Raumtemp.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143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27" t="s">
        <v>0</v>
      </c>
      <c r="B14" s="20" t="s">
        <v>1</v>
      </c>
      <c r="C14" s="27" t="str">
        <f>CONCATENATE("Wärmeleistung * ",ROUND(D8,0),"/",ROUND(D9,0),"/",ROUND(D10,0)," ["&amp;IF(cal!$X$4=1,"W",IF(cal!$X$4=2,"Btu/h"))&amp;"]")</f>
        <v>Wärmeleistung * 75/65/20 [W]</v>
      </c>
      <c r="D14" s="30" t="str">
        <f>"Heizmittelstrom ["&amp;IF(cal!$X$4=1,"l/h",IF(cal!$X$4=2,"GPM"))&amp;"]"</f>
        <v>Heizmittelstrom [l/h]</v>
      </c>
      <c r="E14" s="33" t="str">
        <f>"zug. wassers. Druckverlust ["&amp;IF(cal!$X$4=1,"kPa",IF(cal!$X$4=2,"ftH2O"))&amp;"]"</f>
        <v>zug. wassers. Druckverlust [kPa]</v>
      </c>
      <c r="F14" s="20" t="str">
        <f>CONCATENATE("Sens. Kälteleistung * ",ROUND(J8,0),"/",ROUND(J9,0),"/",ROUND(J10,0)," ["&amp;IF(cal!$X$4=1,"W",IF(cal!$X$4=2,"Btu/h"))&amp;"]")</f>
        <v>Sens. Kälteleistung * 0/0/0 [W]</v>
      </c>
      <c r="G14" s="20" t="str">
        <f>CONCATENATE("Tot. Kälteleistung ",ROUND(J8,0),"/",ROUND(J9,0),"/",ROUND(J10,0)," ["&amp;IF(cal!$X$4=1,"W",IF(cal!$X$4=2,"Btu/h"))&amp;"]")</f>
        <v>Tot. Kälteleistung 0/0/0 [W]</v>
      </c>
      <c r="H14" s="20" t="str">
        <f>"Kühlmittelstrom ["&amp;IF(cal!$X$4=1,"l/h",IF(cal!$X$4=2,"GPM"))&amp;"]"</f>
        <v>Kühlmittelstrom [l/h]</v>
      </c>
      <c r="I14" s="21" t="str">
        <f>"zug. wassers. Druckverlust ["&amp;IF(cal!$X$4=1,"kPa",IF(cal!$X$4=2,"ftH2O"))&amp;"]"</f>
        <v>zug. wassers. Druckverlust [kPa]</v>
      </c>
      <c r="J14" s="27" t="s">
        <v>9</v>
      </c>
      <c r="K14" s="32" t="s">
        <v>44</v>
      </c>
      <c r="L14" s="20" t="s">
        <v>6</v>
      </c>
      <c r="M14" s="26" t="str">
        <f>"Luftvolumenstrom ["&amp;IF(cal!$X$4=1,"m³/h",IF(cal!$X$4=2,"CFM"))&amp;"]"</f>
        <v>Luftvolumenstrom [m³/h]</v>
      </c>
      <c r="N14" s="191" t="str">
        <f>"Luftaustrittstemp. Heizung ["&amp;IF(cal!$X$4=1,"°C",IF(cal!$X$4=2,"°F"))&amp;"]"</f>
        <v>Luftaustrittstemp. Heizung [°C]</v>
      </c>
      <c r="O14" s="192" t="str">
        <f>"Luftaustrittstemp. kühlung ["&amp;IF(cal!$X$4=1,"°C",IF(cal!$X$4=2,"°F"))&amp;"]"</f>
        <v>Luftaustrittstemp. kühlung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Micro Canal höhe 6 cm breite 14 cm länge 60 cm (Type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89</v>
      </c>
      <c r="R15" s="113" t="s">
        <v>124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94</v>
      </c>
      <c r="R16" s="113" t="s">
        <v>125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95</v>
      </c>
      <c r="R17" s="113" t="s">
        <v>126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Micro Canal höhe 6 cm breite 14 cm länge 95 cm (Type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Micro Canal höhe 6 cm breite 14 cm länge 130 cm (Type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Micro Canal höhe 6 cm breite 14 cm länge 165 cm (Type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Micro Canal höhe 6 cm breite 14 cm länge 200 cm (Type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ht="15" customHeight="1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Micro Canal höhe 0 cm breite 0 cm länge 0 cm (Type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Micro Canal höhe 0 cm breite 0 cm länge 0 cm (Type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Micro Canal höhe 0 cm breite 0 cm länge 0 cm (Type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Micro Canal höhe 0 cm breite 0 cm länge 0 cm (Type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59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7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8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19"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4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4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R71"/>
  <sheetViews>
    <sheetView topLeftCell="C1" zoomScaleNormal="100" workbookViewId="0">
      <selection activeCell="A15" sqref="A15:M15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24" t="s">
        <v>34</v>
      </c>
      <c r="B2" s="23"/>
    </row>
    <row r="3" spans="1:18" s="3" customFormat="1" x14ac:dyDescent="0.25">
      <c r="A3" s="22"/>
    </row>
    <row r="4" spans="1:18" s="3" customFormat="1" x14ac:dyDescent="0.25">
      <c r="A4" s="29" t="s">
        <v>31</v>
      </c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3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136</v>
      </c>
      <c r="M6" s="383"/>
    </row>
    <row r="7" spans="1:18" ht="15.75" thickBot="1" x14ac:dyDescent="0.3">
      <c r="A7" s="13" t="s">
        <v>46</v>
      </c>
      <c r="B7" s="8"/>
      <c r="C7" s="8"/>
      <c r="D7" s="8"/>
      <c r="E7" s="8"/>
      <c r="F7" s="9" t="s">
        <v>36</v>
      </c>
      <c r="G7" s="9"/>
      <c r="H7" s="9"/>
      <c r="I7" s="8"/>
      <c r="J7" s="8"/>
      <c r="K7" s="8"/>
      <c r="L7" s="384"/>
      <c r="M7" s="385"/>
      <c r="Q7" s="1" t="s">
        <v>166</v>
      </c>
    </row>
    <row r="8" spans="1:18" ht="15.75" thickBot="1" x14ac:dyDescent="0.3">
      <c r="A8" s="378" t="str">
        <f>"Temp. entrée"</f>
        <v>Temp. entrée</v>
      </c>
      <c r="B8" s="379"/>
      <c r="C8" s="379"/>
      <c r="D8" s="88">
        <f>cal!E9</f>
        <v>75</v>
      </c>
      <c r="E8" s="160" t="str">
        <f>IF(cal!$X$4=1,"°C",IF(cal!$X$4=2,"°F"))</f>
        <v>°C</v>
      </c>
      <c r="F8" s="379" t="str">
        <f>A8</f>
        <v>Temp. entrée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105</v>
      </c>
      <c r="M8" s="381"/>
      <c r="Q8" s="1" t="s">
        <v>167</v>
      </c>
    </row>
    <row r="9" spans="1:18" ht="15.75" thickTop="1" x14ac:dyDescent="0.25">
      <c r="A9" s="378" t="str">
        <f>"Temp. retour"</f>
        <v>Temp. retour</v>
      </c>
      <c r="B9" s="379"/>
      <c r="C9" s="379"/>
      <c r="D9" s="88">
        <f>cal!E10</f>
        <v>65</v>
      </c>
      <c r="E9" s="160" t="str">
        <f>E8</f>
        <v>°C</v>
      </c>
      <c r="F9" s="379" t="str">
        <f>A9</f>
        <v>Temp. retour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168</v>
      </c>
    </row>
    <row r="10" spans="1:18" x14ac:dyDescent="0.25">
      <c r="A10" s="378" t="str">
        <f>"Temp. ambiante"</f>
        <v>Temp. ambiante</v>
      </c>
      <c r="B10" s="379"/>
      <c r="C10" s="379"/>
      <c r="D10" s="88">
        <f>cal!E11</f>
        <v>20</v>
      </c>
      <c r="E10" s="160" t="str">
        <f>E8</f>
        <v>°C</v>
      </c>
      <c r="F10" s="379" t="str">
        <f>A10</f>
        <v>Temp. ambiante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144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27" t="s">
        <v>32</v>
      </c>
      <c r="B14" s="20" t="s">
        <v>35</v>
      </c>
      <c r="C14" s="27" t="str">
        <f>CONCATENATE("Puissance de cha. * ",ROUND(D8,0),"/",ROUND(D9,0),"/",ROUND(D10,0)," ["&amp;IF(cal!$X$4=1,"W",IF(cal!$X$4=2,"Btu/h"))&amp;"]")</f>
        <v>Puissance de cha. * 75/65/20 [W]</v>
      </c>
      <c r="D14" s="30" t="str">
        <f>"Débit d'eau, chauffer ["&amp;IF(cal!$X$4=1,"l/h",IF(cal!$X$4=2,"GPM"))&amp;"]"</f>
        <v>Débit d'eau, chauffer [l/h]</v>
      </c>
      <c r="E14" s="33" t="str">
        <f>"Perte de charge ["&amp;IF(cal!$X$4=1,"kPa",IF(cal!$X$4=2,"ftH2O"))&amp;"]"</f>
        <v>Perte de charge [kPa]</v>
      </c>
      <c r="F14" s="20" t="str">
        <f>CONCATENATE("Puissance sens. de refr. * ",ROUND(J8,0),"/",ROUND(J9,0),"/",ROUND(J10,0)," ["&amp;IF(cal!$X$4=1,"W",IF(cal!$X$4=2,"Btu/h"))&amp;"]")</f>
        <v>Puissance sens. de refr. * 0/0/0 [W]</v>
      </c>
      <c r="G14" s="20" t="str">
        <f>CONCATENATE("Puissance tot. de refr. ",ROUND(J8,0),"/",ROUND(J9,0),"/",ROUND(J10,0)," ["&amp;IF(cal!$X$4=1,"W",IF(cal!$X$4=2,"Btu/h"))&amp;"]")</f>
        <v>Puissance tot. de refr. 0/0/0 [W]</v>
      </c>
      <c r="H14" s="20" t="str">
        <f>"Débit d'eau, refroidir ["&amp;IF(cal!$X$4=1,"l/h",IF(cal!$X$4=2,"GPM"))&amp;"]"</f>
        <v>Débit d'eau, refroidir [l/h]</v>
      </c>
      <c r="I14" s="21" t="str">
        <f>"Perte de charge ["&amp;IF(cal!$X$4=1,"kPa",IF(cal!$X$4=2,"ftH2O"))&amp;"]"</f>
        <v>Perte de charge [kPa]</v>
      </c>
      <c r="J14" s="27" t="s">
        <v>37</v>
      </c>
      <c r="K14" s="32" t="s">
        <v>39</v>
      </c>
      <c r="L14" s="20" t="s">
        <v>38</v>
      </c>
      <c r="M14" s="26" t="str">
        <f>"Débit d'air ["&amp;IF(cal!$X$4=1,"m³/h",IF(cal!$X$4=2,"CFM"))&amp;"]"</f>
        <v>Débit d'air [m³/h]</v>
      </c>
      <c r="N14" s="191" t="str">
        <f>"Temp. de la sortie d'air cha. ["&amp;IF(cal!$X$4=1,"°C",IF(cal!$X$4=2,"°F"))&amp;"]"</f>
        <v>Temp. de la sortie d'air cha. [°C]</v>
      </c>
      <c r="O14" s="192" t="str">
        <f>"Temp. de la sortie d'air refr. ["&amp;IF(cal!$X$4=1,"°C",IF(cal!$X$4=2,"°F"))&amp;"]"</f>
        <v>Temp. de la sortie d'air refr.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Micro Canal hauteur 6 cm largeur 14 cm longueur 60 cm (Type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89</v>
      </c>
      <c r="R15" s="113" t="s">
        <v>121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96</v>
      </c>
      <c r="R16" s="113" t="s">
        <v>122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97</v>
      </c>
      <c r="R17" s="113" t="s">
        <v>123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Micro Canal hauteur 6 cm largeur 14 cm longueur 95 cm (Type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Micro Canal hauteur 6 cm largeur 14 cm longueur 130 cm (Type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Micro Canal hauteur 6 cm largeur 14 cm longueur 165 cm (Type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Micro Canal hauteur 6 cm largeur 14 cm longueur 200 cm (Type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Micro Canal hauteur 0 cm largeur 0 cm longueur 0 cm (Type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Micro Canal hauteur 0 cm largeur 0 cm longueur 0 cm (Type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Micro Canal hauteur 0 cm largeur 0 cm longueur 0 cm (Type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Micro Canal hauteur 0 cm largeur 0 cm longueur 0 cm (Type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60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40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41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19"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5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5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R71"/>
  <sheetViews>
    <sheetView topLeftCell="C1" zoomScaleNormal="100" workbookViewId="0">
      <selection activeCell="I14" sqref="I14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168" t="s">
        <v>88</v>
      </c>
      <c r="B2" s="23"/>
    </row>
    <row r="3" spans="1:18" s="3" customFormat="1" x14ac:dyDescent="0.25">
      <c r="A3" s="22"/>
      <c r="G3" s="386"/>
      <c r="H3" s="387"/>
      <c r="I3" s="387"/>
      <c r="J3" s="388"/>
    </row>
    <row r="4" spans="1:18" s="3" customFormat="1" x14ac:dyDescent="0.25">
      <c r="A4" s="29" t="s">
        <v>31</v>
      </c>
      <c r="G4" s="386"/>
      <c r="H4" s="387"/>
      <c r="I4" s="387"/>
      <c r="J4" s="388"/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66" t="s">
        <v>85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137</v>
      </c>
      <c r="M6" s="383"/>
    </row>
    <row r="7" spans="1:18" ht="15.75" thickBot="1" x14ac:dyDescent="0.3">
      <c r="A7" s="166" t="s">
        <v>86</v>
      </c>
      <c r="B7" s="8"/>
      <c r="C7" s="8"/>
      <c r="D7" s="8"/>
      <c r="E7" s="8"/>
      <c r="F7" s="167" t="s">
        <v>87</v>
      </c>
      <c r="G7" s="9"/>
      <c r="H7" s="9"/>
      <c r="I7" s="8"/>
      <c r="J7" s="8"/>
      <c r="K7" s="8"/>
      <c r="L7" s="384"/>
      <c r="M7" s="385"/>
      <c r="Q7" s="1" t="s">
        <v>169</v>
      </c>
    </row>
    <row r="8" spans="1:18" ht="15.75" thickBot="1" x14ac:dyDescent="0.3">
      <c r="A8" s="389" t="s">
        <v>82</v>
      </c>
      <c r="B8" s="390">
        <v>0</v>
      </c>
      <c r="C8" s="390">
        <v>0</v>
      </c>
      <c r="D8" s="88">
        <f>cal!E9</f>
        <v>75</v>
      </c>
      <c r="E8" s="160" t="str">
        <f>IF(cal!$X$4=1,"°C",IF(cal!$X$4=2,"°F"))</f>
        <v>°C</v>
      </c>
      <c r="F8" s="379" t="str">
        <f>A8</f>
        <v>Tur vanntemp.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106</v>
      </c>
      <c r="M8" s="381"/>
      <c r="Q8" s="1" t="s">
        <v>170</v>
      </c>
    </row>
    <row r="9" spans="1:18" ht="15.75" thickTop="1" x14ac:dyDescent="0.25">
      <c r="A9" s="389" t="s">
        <v>83</v>
      </c>
      <c r="B9" s="390">
        <v>0</v>
      </c>
      <c r="C9" s="390">
        <v>0</v>
      </c>
      <c r="D9" s="88">
        <f>cal!E10</f>
        <v>65</v>
      </c>
      <c r="E9" s="160" t="str">
        <f>E8</f>
        <v>°C</v>
      </c>
      <c r="F9" s="379" t="str">
        <f>A9</f>
        <v>Retur vanntemp.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171</v>
      </c>
    </row>
    <row r="10" spans="1:18" x14ac:dyDescent="0.25">
      <c r="A10" s="389" t="s">
        <v>84</v>
      </c>
      <c r="B10" s="390">
        <v>0</v>
      </c>
      <c r="C10" s="390">
        <v>0</v>
      </c>
      <c r="D10" s="88">
        <f>cal!E11</f>
        <v>20</v>
      </c>
      <c r="E10" s="160" t="str">
        <f>E8</f>
        <v>°C</v>
      </c>
      <c r="F10" s="379" t="str">
        <f>A10</f>
        <v>Rom temp.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145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161" t="s">
        <v>77</v>
      </c>
      <c r="B14" s="162" t="s">
        <v>78</v>
      </c>
      <c r="C14" s="161" t="str">
        <f>CONCATENATE("Varme effekt * ",ROUND(D8,0),"/",ROUND(D9,0),"/",ROUND(D10,0)," ["&amp;IF(cal!$X$4=1,"W",IF(cal!$X$4=2,"Btu/h"))&amp;"]")</f>
        <v>Varme effekt * 75/65/20 [W]</v>
      </c>
      <c r="D14" s="163" t="str">
        <f>"Vannmengde, varme ["&amp;IF(cal!$X$4=1,"l/h",IF(cal!$X$4=2,"GPM"))&amp;"]"</f>
        <v>Vannmengde, varme [l/h]</v>
      </c>
      <c r="E14" s="164" t="str">
        <f>"Trykktap ["&amp;IF(cal!$X$4=1,"kPa",IF(cal!$X$4=2,"ftH2O"))&amp;"]"</f>
        <v>Trykktap [kPa]</v>
      </c>
      <c r="F14" s="162" t="str">
        <f>CONCATENATE("Sens. Kjøling effekt * ",ROUND(J8,0),"/",ROUND(J9,0),"/",ROUND(J10,0)," ["&amp;IF(cal!$X$4=1,"W",IF(cal!$X$4=2,"Btu/h"))&amp;"]")</f>
        <v>Sens. Kjøling effekt * 0/0/0 [W]</v>
      </c>
      <c r="G14" s="162" t="str">
        <f>CONCATENATE("Tot. Kjøle effekt * ",ROUND(J8,0),"/",ROUND(J9,0),"/",ROUND(J10,0)," ["&amp;IF(cal!$X$4=1,"W",IF(cal!$X$4=2,"Btu/h"))&amp;"]")</f>
        <v>Tot. Kjøle effekt * 0/0/0 [W]</v>
      </c>
      <c r="H14" s="162" t="str">
        <f>"Vannmengde, kjøling ["&amp;IF(cal!$X$4=1,"l/h",IF(cal!$X$4=2,"GPM"))&amp;"]"</f>
        <v>Vannmengde, kjøling [l/h]</v>
      </c>
      <c r="I14" s="162" t="str">
        <f>E14</f>
        <v>Trykktap [kPa]</v>
      </c>
      <c r="J14" s="161" t="s">
        <v>79</v>
      </c>
      <c r="K14" s="165" t="s">
        <v>80</v>
      </c>
      <c r="L14" s="162" t="s">
        <v>81</v>
      </c>
      <c r="M14" s="164" t="str">
        <f>"Luftmengde ["&amp;IF(cal!$X$4=1,"m³/h",IF(cal!$X$4=2,"CFM"))&amp;"]"</f>
        <v>Luftmengde [m³/h]</v>
      </c>
      <c r="N14" s="191" t="str">
        <f>"Utluft temperatur, Varme ["&amp;IF(cal!$X$4=1,"°C",IF(cal!$X$4=2,"°F"))&amp;"]"</f>
        <v>Utluft temperatur, Varme [°C]</v>
      </c>
      <c r="O14" s="192" t="str">
        <f>"Utluft temperatur, Kjøling ["&amp;IF(cal!$X$4=1,"°C",IF(cal!$X$4=2,"°F"))&amp;"]"</f>
        <v>Utluft temperatur, Kjøling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Micro Canal høyde 6 cm bredde 14 cm lengde 60 cm (Type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89</v>
      </c>
      <c r="R15" s="113" t="s">
        <v>118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98</v>
      </c>
      <c r="R16" s="113" t="s">
        <v>119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99</v>
      </c>
      <c r="R17" s="113" t="s">
        <v>120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Micro Canal høyde 6 cm bredde 14 cm lengde 95 cm (Type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Micro Canal høyde 6 cm bredde 14 cm lengde 130 cm (Type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Micro Canal høyde 6 cm bredde 14 cm lengde 165 cm (Type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Micro Canal høyde 6 cm bredde 14 cm lengde 200 cm (Type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Micro Canal høyde 0 cm bredde 0 cm lengde 0 cm (Type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Micro Canal høyde 0 cm bredde 0 cm lengde 0 cm (Type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Micro Canal høyde 0 cm bredde 0 cm lengde 0 cm (Type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Micro Canal høyde 0 cm bredde 0 cm lengde 0 cm (Type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60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40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41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21">
    <mergeCell ref="L8:M8"/>
    <mergeCell ref="L6:M6"/>
    <mergeCell ref="L7:M7"/>
    <mergeCell ref="F11:H11"/>
    <mergeCell ref="F10:I10"/>
    <mergeCell ref="A51:M51"/>
    <mergeCell ref="A57:M57"/>
    <mergeCell ref="A63:M63"/>
    <mergeCell ref="G3:J3"/>
    <mergeCell ref="G4:J4"/>
    <mergeCell ref="A15:M15"/>
    <mergeCell ref="A21:M21"/>
    <mergeCell ref="A27:M27"/>
    <mergeCell ref="A33:M33"/>
    <mergeCell ref="A39:M39"/>
    <mergeCell ref="A45:M45"/>
    <mergeCell ref="A8:C8"/>
    <mergeCell ref="F8:I8"/>
    <mergeCell ref="A9:C9"/>
    <mergeCell ref="F9:I9"/>
    <mergeCell ref="A10:C10"/>
  </mergeCells>
  <dataValidations count="7">
    <dataValidation type="decimal" errorStyle="information" allowBlank="1" showErrorMessage="1" error="Eingabe außerhalb des gültigen Bereichs." prompt="20°C bis 35°C" sqref="J11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6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6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R71"/>
  <sheetViews>
    <sheetView zoomScaleNormal="100" workbookViewId="0">
      <selection activeCell="I14" sqref="I14"/>
    </sheetView>
  </sheetViews>
  <sheetFormatPr defaultColWidth="11.42578125" defaultRowHeight="15" customHeight="1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168" t="s">
        <v>139</v>
      </c>
      <c r="B2" s="23"/>
    </row>
    <row r="3" spans="1:18" s="3" customFormat="1" x14ac:dyDescent="0.25">
      <c r="A3" s="22"/>
      <c r="G3" s="386"/>
      <c r="H3" s="387"/>
      <c r="I3" s="387"/>
      <c r="J3" s="388"/>
    </row>
    <row r="4" spans="1:18" s="3" customFormat="1" x14ac:dyDescent="0.25">
      <c r="A4" s="29" t="s">
        <v>31</v>
      </c>
      <c r="G4" s="386"/>
      <c r="H4" s="387"/>
      <c r="I4" s="387"/>
      <c r="J4" s="388"/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66" t="s">
        <v>147</v>
      </c>
      <c r="B6" s="112"/>
      <c r="C6" s="112"/>
      <c r="D6" s="8"/>
      <c r="E6" s="8"/>
      <c r="F6" s="8"/>
      <c r="G6" s="8"/>
      <c r="H6" s="8"/>
      <c r="I6" s="8"/>
      <c r="J6" s="8"/>
      <c r="K6" s="8"/>
      <c r="L6" s="382" t="s">
        <v>138</v>
      </c>
      <c r="M6" s="383"/>
    </row>
    <row r="7" spans="1:18" ht="15.75" thickBot="1" x14ac:dyDescent="0.3">
      <c r="A7" s="166" t="s">
        <v>148</v>
      </c>
      <c r="B7" s="112"/>
      <c r="C7" s="112"/>
      <c r="D7" s="8"/>
      <c r="E7" s="8"/>
      <c r="F7" s="167" t="s">
        <v>152</v>
      </c>
      <c r="G7" s="9"/>
      <c r="H7" s="9"/>
      <c r="I7" s="8"/>
      <c r="J7" s="8"/>
      <c r="K7" s="8"/>
      <c r="L7" s="384"/>
      <c r="M7" s="385"/>
      <c r="Q7" s="1" t="s">
        <v>172</v>
      </c>
    </row>
    <row r="8" spans="1:18" ht="15.75" thickBot="1" x14ac:dyDescent="0.3">
      <c r="A8" s="389" t="s">
        <v>149</v>
      </c>
      <c r="B8" s="390">
        <v>0</v>
      </c>
      <c r="C8" s="390">
        <v>0</v>
      </c>
      <c r="D8" s="88">
        <f>cal!E9</f>
        <v>75</v>
      </c>
      <c r="E8" s="181" t="str">
        <f>IF(cal!$X$4=1,"°C",IF(cal!$X$4=2,"°F"))</f>
        <v>°C</v>
      </c>
      <c r="F8" s="379" t="str">
        <f>A8</f>
        <v>Agua impulsión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112</v>
      </c>
      <c r="M8" s="381"/>
      <c r="Q8" s="1" t="s">
        <v>173</v>
      </c>
    </row>
    <row r="9" spans="1:18" ht="15.75" thickTop="1" x14ac:dyDescent="0.25">
      <c r="A9" s="389" t="s">
        <v>150</v>
      </c>
      <c r="B9" s="390">
        <v>0</v>
      </c>
      <c r="C9" s="390">
        <v>0</v>
      </c>
      <c r="D9" s="88">
        <f>cal!E10</f>
        <v>65</v>
      </c>
      <c r="E9" s="181" t="str">
        <f>E8</f>
        <v>°C</v>
      </c>
      <c r="F9" s="379" t="str">
        <f>A9</f>
        <v>Agua retorno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174</v>
      </c>
    </row>
    <row r="10" spans="1:18" x14ac:dyDescent="0.25">
      <c r="A10" s="389" t="s">
        <v>151</v>
      </c>
      <c r="B10" s="390">
        <v>0</v>
      </c>
      <c r="C10" s="390">
        <v>0</v>
      </c>
      <c r="D10" s="88">
        <f>cal!E11</f>
        <v>20</v>
      </c>
      <c r="E10" s="181" t="str">
        <f>E8</f>
        <v>°C</v>
      </c>
      <c r="F10" s="379" t="str">
        <f>A10</f>
        <v>Ambiente (bulbo seco)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79" t="s">
        <v>146</v>
      </c>
      <c r="G11" s="379"/>
      <c r="H11" s="379"/>
      <c r="I11" s="8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161" t="s">
        <v>107</v>
      </c>
      <c r="B14" s="162" t="s">
        <v>108</v>
      </c>
      <c r="C14" s="161" t="str">
        <f>CONCATENATE("Emisión calefacción * ",ROUND(D8,0),"/",ROUND(D9,0),"/",ROUND(D10,0)," ["&amp;IF(cal!$X$4=1,"W",IF(cal!$X$4=2,"Btu/h"))&amp;"]")</f>
        <v>Emisión calefacción * 75/65/20 [W]</v>
      </c>
      <c r="D14" s="163" t="str">
        <f>"Caudal de agua, calefacción ["&amp;IF(cal!$X$4=1,"l/h",IF(cal!$X$4=2,"GPM"))&amp;"]"</f>
        <v>Caudal de agua, calefacción [l/h]</v>
      </c>
      <c r="E14" s="164" t="str">
        <f>"Pérdida de carga del agua ["&amp;IF(cal!$X$4=1,"kPa",IF(cal!$X$4=2,"ftH2O"))&amp;"]"</f>
        <v>Pérdida de carga del agua [kPa]</v>
      </c>
      <c r="F14" s="162" t="str">
        <f>CONCATENATE("Emisión sensible Frío * ",ROUND(J8,0),"/",ROUND(J9,0),"/",ROUND(J10,0)," ["&amp;IF(cal!$X$4=1,"W",IF(cal!$X$4=2,"Btu/h"))&amp;"]")</f>
        <v>Emisión sensible Frío * 0/0/0 [W]</v>
      </c>
      <c r="G14" s="162" t="str">
        <f>CONCATENATE("Emisión total Frío * ",ROUND(J8,0),"/",ROUND(J9,0),"/",ROUND(J10,0)," ["&amp;IF(cal!$X$4=1,"W",IF(cal!$X$4=2,"Btu/h"))&amp;"]")</f>
        <v>Emisión total Frío * 0/0/0 [W]</v>
      </c>
      <c r="H14" s="162" t="str">
        <f>"Caudal de agua, calefacción ["&amp;IF(cal!$X$4=1,"l/h",IF(cal!$X$4=2,"GPM"))&amp;"]"</f>
        <v>Caudal de agua, calefacción [l/h]</v>
      </c>
      <c r="I14" s="162" t="str">
        <f>E14</f>
        <v>Pérdida de carga del agua [kPa]</v>
      </c>
      <c r="J14" s="161" t="s">
        <v>109</v>
      </c>
      <c r="K14" s="165" t="s">
        <v>110</v>
      </c>
      <c r="L14" s="162" t="s">
        <v>111</v>
      </c>
      <c r="M14" s="164" t="str">
        <f>"Caudal de aire ["&amp;IF(cal!$X$4=1,"m³/h",IF(cal!$X$4=2,"CFM"))&amp;"]"</f>
        <v>Caudal de aire [m³/h]</v>
      </c>
      <c r="N14" s="191" t="str">
        <f>"Temperatura salida de aire calefacción ["&amp;IF(cal!$X$4=1,"°C",IF(cal!$X$4=2,"°F"))&amp;"]"</f>
        <v>Temperatura salida de aire calefacción [°C]</v>
      </c>
      <c r="O14" s="192" t="str">
        <f>"Temperatura salida de aire refrigeración ["&amp;IF(cal!$X$4=1,"°C",IF(cal!$X$4=2,"°F"))&amp;"]"</f>
        <v>Temperatura salida de aire refrigeración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Micro Canal altura 6 cm ancho 14 cm longitud 60 cm (Type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13" t="s">
        <v>89</v>
      </c>
      <c r="R15" s="113" t="s">
        <v>115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13" t="s">
        <v>113</v>
      </c>
      <c r="R16" s="113" t="s">
        <v>116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13" t="s">
        <v>114</v>
      </c>
      <c r="R17" s="113" t="s">
        <v>117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Micro Canal altura 6 cm ancho 14 cm longitud 95 cm (Type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Micro Canal altura 6 cm ancho 14 cm longitud 130 cm (Type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Micro Canal altura 6 cm ancho 14 cm longitud 165 cm (Type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Micro Canal altura 6 cm ancho 14 cm longitud 200 cm (Type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Micro Canal altura 0 cm ancho 0 cm longitud 0 cm (Type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Micro Canal altura 0 cm ancho 0 cm longitud 0 cm (Type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Micro Canal altura 0 cm ancho 0 cm longitud 0 cm (Type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Micro Canal altura 0 cm ancho 0 cm longitud 0 cm (Type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154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155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156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21">
    <mergeCell ref="A39:M39"/>
    <mergeCell ref="A45:M45"/>
    <mergeCell ref="A51:M51"/>
    <mergeCell ref="A57:M57"/>
    <mergeCell ref="A63:M63"/>
    <mergeCell ref="A15:M15"/>
    <mergeCell ref="A21:M21"/>
    <mergeCell ref="A27:M27"/>
    <mergeCell ref="A33:M33"/>
    <mergeCell ref="G3:J3"/>
    <mergeCell ref="G4:J4"/>
    <mergeCell ref="A8:C8"/>
    <mergeCell ref="F8:I8"/>
    <mergeCell ref="L8:M8"/>
    <mergeCell ref="A9:C9"/>
    <mergeCell ref="F9:I9"/>
    <mergeCell ref="L6:M6"/>
    <mergeCell ref="L7:M7"/>
    <mergeCell ref="F11:H11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7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7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R71"/>
  <sheetViews>
    <sheetView topLeftCell="C1" workbookViewId="0">
      <selection activeCell="P2" sqref="P2"/>
    </sheetView>
  </sheetViews>
  <sheetFormatPr defaultColWidth="11.42578125" defaultRowHeight="15" x14ac:dyDescent="0.25"/>
  <cols>
    <col min="1" max="1" width="7" style="1" customWidth="1"/>
    <col min="2" max="2" width="6.140625" style="1" customWidth="1"/>
    <col min="3" max="3" width="7" style="1" customWidth="1"/>
    <col min="4" max="4" width="6.7109375" style="1" customWidth="1"/>
    <col min="5" max="15" width="7" style="1" customWidth="1"/>
    <col min="16" max="16384" width="11.42578125" style="1"/>
  </cols>
  <sheetData>
    <row r="1" spans="1:18" s="3" customFormat="1" x14ac:dyDescent="0.25">
      <c r="A1" s="22"/>
    </row>
    <row r="2" spans="1:18" s="3" customFormat="1" x14ac:dyDescent="0.25">
      <c r="A2" s="24" t="s">
        <v>33</v>
      </c>
      <c r="B2" s="23"/>
    </row>
    <row r="3" spans="1:18" s="3" customFormat="1" x14ac:dyDescent="0.25">
      <c r="A3" s="22"/>
    </row>
    <row r="4" spans="1:18" s="3" customFormat="1" x14ac:dyDescent="0.25">
      <c r="A4" s="29" t="s">
        <v>31</v>
      </c>
    </row>
    <row r="5" spans="1:18" s="3" customFormat="1" ht="6" customHeight="1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8" ht="15.75" thickBot="1" x14ac:dyDescent="0.3">
      <c r="A6" s="13" t="s">
        <v>85</v>
      </c>
      <c r="B6" s="8"/>
      <c r="C6" s="8"/>
      <c r="D6" s="8"/>
      <c r="E6" s="8"/>
      <c r="F6" s="8"/>
      <c r="G6" s="8"/>
      <c r="H6" s="8"/>
      <c r="I6" s="8"/>
      <c r="J6" s="8"/>
      <c r="K6" s="8"/>
      <c r="L6" s="382" t="s">
        <v>175</v>
      </c>
      <c r="M6" s="383"/>
    </row>
    <row r="7" spans="1:18" ht="15.75" thickBot="1" x14ac:dyDescent="0.3">
      <c r="A7" s="13" t="s">
        <v>176</v>
      </c>
      <c r="B7" s="8"/>
      <c r="C7" s="8"/>
      <c r="D7" s="8"/>
      <c r="E7" s="8"/>
      <c r="F7" s="167" t="s">
        <v>180</v>
      </c>
      <c r="G7" s="9"/>
      <c r="H7" s="9"/>
      <c r="I7" s="8"/>
      <c r="J7" s="8"/>
      <c r="K7" s="8"/>
      <c r="L7" s="384"/>
      <c r="M7" s="385"/>
      <c r="Q7" s="1" t="s">
        <v>198</v>
      </c>
    </row>
    <row r="8" spans="1:18" ht="15.75" thickBot="1" x14ac:dyDescent="0.3">
      <c r="A8" s="262" t="s">
        <v>177</v>
      </c>
      <c r="B8" s="261"/>
      <c r="C8" s="261"/>
      <c r="D8" s="88">
        <f>cal!E9</f>
        <v>75</v>
      </c>
      <c r="E8" s="261" t="str">
        <f>IF(cal!$X$4=1,"°C",IF(cal!$X$4=2,"°F"))</f>
        <v>°C</v>
      </c>
      <c r="F8" s="379" t="str">
        <f>A8</f>
        <v>Tillopp</v>
      </c>
      <c r="G8" s="379"/>
      <c r="H8" s="379"/>
      <c r="I8" s="379"/>
      <c r="J8" s="88">
        <f>cal!K9</f>
        <v>0</v>
      </c>
      <c r="K8" s="8" t="str">
        <f>E8</f>
        <v>°C</v>
      </c>
      <c r="L8" s="380" t="s">
        <v>106</v>
      </c>
      <c r="M8" s="381"/>
      <c r="Q8" s="1" t="s">
        <v>170</v>
      </c>
    </row>
    <row r="9" spans="1:18" ht="15.75" thickTop="1" x14ac:dyDescent="0.25">
      <c r="A9" s="262" t="s">
        <v>178</v>
      </c>
      <c r="B9" s="261"/>
      <c r="C9" s="261"/>
      <c r="D9" s="88">
        <f>cal!E10</f>
        <v>65</v>
      </c>
      <c r="E9" s="261" t="str">
        <f>E8</f>
        <v>°C</v>
      </c>
      <c r="F9" s="379" t="str">
        <f>A9</f>
        <v>Retur</v>
      </c>
      <c r="G9" s="379"/>
      <c r="H9" s="379"/>
      <c r="I9" s="379"/>
      <c r="J9" s="88">
        <f>cal!K10</f>
        <v>0</v>
      </c>
      <c r="K9" s="8" t="str">
        <f>E8</f>
        <v>°C</v>
      </c>
      <c r="L9" s="8"/>
      <c r="M9" s="14"/>
      <c r="Q9" s="1" t="s">
        <v>199</v>
      </c>
    </row>
    <row r="10" spans="1:18" x14ac:dyDescent="0.25">
      <c r="A10" s="262" t="s">
        <v>179</v>
      </c>
      <c r="B10" s="261"/>
      <c r="C10" s="261"/>
      <c r="D10" s="88">
        <f>cal!E11</f>
        <v>20</v>
      </c>
      <c r="E10" s="261" t="str">
        <f>E8</f>
        <v>°C</v>
      </c>
      <c r="F10" s="379" t="str">
        <f>A10</f>
        <v>Rum (torr)</v>
      </c>
      <c r="G10" s="379"/>
      <c r="H10" s="379"/>
      <c r="I10" s="379"/>
      <c r="J10" s="88">
        <f>cal!K11</f>
        <v>0</v>
      </c>
      <c r="K10" s="8" t="str">
        <f>E8</f>
        <v>°C</v>
      </c>
      <c r="L10" s="8"/>
      <c r="M10" s="14"/>
    </row>
    <row r="11" spans="1:18" x14ac:dyDescent="0.25">
      <c r="A11" s="15"/>
      <c r="B11" s="8"/>
      <c r="C11" s="8"/>
      <c r="D11" s="8"/>
      <c r="E11" s="8"/>
      <c r="F11" s="390" t="s">
        <v>181</v>
      </c>
      <c r="G11" s="390"/>
      <c r="H11" s="390"/>
      <c r="I11" s="391"/>
      <c r="J11" s="66">
        <f>cal!K12</f>
        <v>0</v>
      </c>
      <c r="K11" s="8"/>
      <c r="L11" s="8"/>
      <c r="M11" s="14"/>
    </row>
    <row r="12" spans="1:18" ht="6" customHeight="1" x14ac:dyDescent="0.25">
      <c r="A12" s="16"/>
      <c r="B12" s="17"/>
      <c r="C12" s="17"/>
      <c r="D12" s="17"/>
      <c r="E12" s="18"/>
      <c r="F12" s="18"/>
      <c r="G12" s="18"/>
      <c r="H12" s="18"/>
      <c r="I12" s="18"/>
      <c r="J12" s="18"/>
      <c r="K12" s="18"/>
      <c r="L12" s="18"/>
      <c r="M12" s="19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8" s="2" customFormat="1" ht="95.65" customHeight="1" x14ac:dyDescent="0.25">
      <c r="A14" s="27" t="s">
        <v>182</v>
      </c>
      <c r="B14" s="20" t="s">
        <v>183</v>
      </c>
      <c r="C14" s="27" t="str">
        <f>CONCATENATE("Värme effekt * ",ROUND(D8,0),"/",ROUND(D9,0),"/",ROUND(D10,0)," ["&amp;IF(cal!$X$4=1,"W",IF(cal!$X$4=2,"Btu/h"))&amp;"]")</f>
        <v>Värme effekt * 75/65/20 [W]</v>
      </c>
      <c r="D14" s="30" t="str">
        <f>"Vattenflöde, värme ["&amp;IF(cal!$X$4=1,"l/h",IF(cal!$X$4=2,"GPM"))&amp;"]"</f>
        <v>Vattenflöde, värme [l/h]</v>
      </c>
      <c r="E14" s="33" t="str">
        <f>"Tryckfall, vatten ["&amp;IF(cal!$X$4=1,"kPa",IF(cal!$X$4=2,"ftH2O"))&amp;"]"</f>
        <v>Tryckfall, vatten [kPa]</v>
      </c>
      <c r="F14" s="20" t="str">
        <f>CONCATENATE("Märkbar kylkapacitet * ",ROUND(J8,0),"/",ROUND(J9,0),"/",ROUND(J10,0)," ["&amp;IF(cal!$X$4=1,"W",IF(cal!$X$4=2,"Btu/h"))&amp;"]")</f>
        <v>Märkbar kylkapacitet * 0/0/0 [W]</v>
      </c>
      <c r="G14" s="20" t="str">
        <f>CONCATENATE("Total kylkapacitet ",ROUND(J8,0),"/",ROUND(J9,0),"/",ROUND(J10,0)," ["&amp;IF(cal!$X$4=1,"W",IF(cal!$X$4=2,"Btu/h"))&amp;"]")</f>
        <v>Total kylkapacitet 0/0/0 [W]</v>
      </c>
      <c r="H14" s="20" t="str">
        <f>"Vattenflöde, kyla ["&amp;IF(cal!$X$4=1,"l/h",IF(cal!$X$4=2,"GPM"))&amp;"]"</f>
        <v>Vattenflöde, kyla [l/h]</v>
      </c>
      <c r="I14" s="21" t="str">
        <f>E14</f>
        <v>Tryckfall, vatten [kPa]</v>
      </c>
      <c r="J14" s="27" t="s">
        <v>184</v>
      </c>
      <c r="K14" s="32" t="s">
        <v>185</v>
      </c>
      <c r="L14" s="20" t="s">
        <v>186</v>
      </c>
      <c r="M14" s="26" t="str">
        <f>"Luftflöde ["&amp;IF(cal!$X$4=1,"m³/h",IF(cal!$X$4=2,"CFM"))&amp;"]"</f>
        <v>Luftflöde [m³/h]</v>
      </c>
      <c r="N14" s="191" t="str">
        <f>"Air exhaust temp. heating ["&amp;IF(cal!$X$4=1,"°C",IF(cal!$X$4=2,"°F"))&amp;"]"</f>
        <v>Air exhaust temp. heating [°C]</v>
      </c>
      <c r="O14" s="192" t="str">
        <f>"Air exhaust temp. cooling ["&amp;IF(cal!$X$4=1,"°C",IF(cal!$X$4=2,"°F"))&amp;"]"</f>
        <v>Air exhaust temp. cooling [°C]</v>
      </c>
    </row>
    <row r="15" spans="1:18" ht="18" customHeight="1" x14ac:dyDescent="0.25">
      <c r="A15" s="375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 1)"</f>
        <v>Micro Canal höjd 6 cm djup 14 cm längd 60 cm (Typ 1)</v>
      </c>
      <c r="B15" s="376"/>
      <c r="C15" s="375"/>
      <c r="D15" s="377"/>
      <c r="E15" s="376"/>
      <c r="F15" s="376"/>
      <c r="G15" s="376"/>
      <c r="H15" s="376"/>
      <c r="I15" s="376"/>
      <c r="J15" s="375"/>
      <c r="K15" s="376"/>
      <c r="L15" s="376"/>
      <c r="M15" s="377"/>
      <c r="Q15" s="1" t="s">
        <v>89</v>
      </c>
      <c r="R15" s="113" t="s">
        <v>189</v>
      </c>
    </row>
    <row r="16" spans="1:18" x14ac:dyDescent="0.25">
      <c r="A16" s="34"/>
      <c r="B16" s="4"/>
      <c r="C16" s="28"/>
      <c r="D16" s="5"/>
      <c r="E16" s="31"/>
      <c r="F16" s="5"/>
      <c r="G16" s="5"/>
      <c r="H16" s="5"/>
      <c r="I16" s="6"/>
      <c r="J16" s="28"/>
      <c r="K16" s="43"/>
      <c r="L16" s="47"/>
      <c r="M16" s="35"/>
      <c r="Q16" s="1" t="s">
        <v>187</v>
      </c>
      <c r="R16" s="113" t="s">
        <v>190</v>
      </c>
    </row>
    <row r="17" spans="1:18" x14ac:dyDescent="0.25">
      <c r="A17" s="34"/>
      <c r="B17" s="4"/>
      <c r="C17" s="28"/>
      <c r="D17" s="5"/>
      <c r="E17" s="31"/>
      <c r="F17" s="5"/>
      <c r="G17" s="5"/>
      <c r="H17" s="5"/>
      <c r="I17" s="6"/>
      <c r="J17" s="28"/>
      <c r="K17" s="43"/>
      <c r="L17" s="47"/>
      <c r="M17" s="35"/>
      <c r="Q17" s="1" t="s">
        <v>188</v>
      </c>
      <c r="R17" s="113" t="s">
        <v>191</v>
      </c>
    </row>
    <row r="18" spans="1:18" x14ac:dyDescent="0.25">
      <c r="A18" s="34"/>
      <c r="B18" s="4"/>
      <c r="C18" s="28"/>
      <c r="D18" s="5"/>
      <c r="E18" s="31"/>
      <c r="F18" s="5"/>
      <c r="G18" s="5"/>
      <c r="H18" s="5"/>
      <c r="I18" s="6"/>
      <c r="J18" s="28"/>
      <c r="K18" s="43"/>
      <c r="L18" s="47"/>
      <c r="M18" s="35"/>
    </row>
    <row r="19" spans="1:18" x14ac:dyDescent="0.25">
      <c r="A19" s="34"/>
      <c r="B19" s="4"/>
      <c r="C19" s="28"/>
      <c r="D19" s="5"/>
      <c r="E19" s="31"/>
      <c r="F19" s="5"/>
      <c r="G19" s="5"/>
      <c r="H19" s="5"/>
      <c r="I19" s="6"/>
      <c r="J19" s="28"/>
      <c r="K19" s="43"/>
      <c r="L19" s="47"/>
      <c r="M19" s="35"/>
    </row>
    <row r="20" spans="1:18" x14ac:dyDescent="0.25">
      <c r="A20" s="34"/>
      <c r="B20" s="4"/>
      <c r="C20" s="28"/>
      <c r="D20" s="5"/>
      <c r="E20" s="31"/>
      <c r="F20" s="5"/>
      <c r="G20" s="5"/>
      <c r="H20" s="5"/>
      <c r="I20" s="6"/>
      <c r="J20" s="28"/>
      <c r="K20" s="43"/>
      <c r="L20" s="47"/>
      <c r="M20" s="35"/>
    </row>
    <row r="21" spans="1:18" ht="16.899999999999999" customHeight="1" x14ac:dyDescent="0.25">
      <c r="A21" s="375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Micro Canal höjd 6 cm djup 14 cm längd 95 cm (Typ 2)</v>
      </c>
      <c r="B21" s="376"/>
      <c r="C21" s="375"/>
      <c r="D21" s="377"/>
      <c r="E21" s="376"/>
      <c r="F21" s="376"/>
      <c r="G21" s="376"/>
      <c r="H21" s="376"/>
      <c r="I21" s="376"/>
      <c r="J21" s="375"/>
      <c r="K21" s="376"/>
      <c r="L21" s="376"/>
      <c r="M21" s="377"/>
    </row>
    <row r="22" spans="1:18" x14ac:dyDescent="0.25">
      <c r="A22" s="34"/>
      <c r="B22" s="4"/>
      <c r="C22" s="28"/>
      <c r="D22" s="5"/>
      <c r="E22" s="31"/>
      <c r="F22" s="5"/>
      <c r="G22" s="5"/>
      <c r="H22" s="5"/>
      <c r="I22" s="6"/>
      <c r="J22" s="28"/>
      <c r="K22" s="43"/>
      <c r="L22" s="47"/>
      <c r="M22" s="35"/>
    </row>
    <row r="23" spans="1:18" x14ac:dyDescent="0.25">
      <c r="A23" s="34"/>
      <c r="B23" s="4"/>
      <c r="C23" s="28"/>
      <c r="D23" s="5"/>
      <c r="E23" s="31"/>
      <c r="F23" s="5"/>
      <c r="G23" s="5"/>
      <c r="H23" s="5"/>
      <c r="I23" s="6"/>
      <c r="J23" s="28"/>
      <c r="K23" s="43"/>
      <c r="L23" s="47"/>
      <c r="M23" s="35"/>
    </row>
    <row r="24" spans="1:18" x14ac:dyDescent="0.25">
      <c r="A24" s="34"/>
      <c r="B24" s="4"/>
      <c r="C24" s="28"/>
      <c r="D24" s="5"/>
      <c r="E24" s="31"/>
      <c r="F24" s="5"/>
      <c r="G24" s="5"/>
      <c r="H24" s="5"/>
      <c r="I24" s="6"/>
      <c r="J24" s="28"/>
      <c r="K24" s="43"/>
      <c r="L24" s="47"/>
      <c r="M24" s="35"/>
    </row>
    <row r="25" spans="1:18" x14ac:dyDescent="0.25">
      <c r="A25" s="34"/>
      <c r="B25" s="4"/>
      <c r="C25" s="28"/>
      <c r="D25" s="5"/>
      <c r="E25" s="31"/>
      <c r="F25" s="5"/>
      <c r="G25" s="5"/>
      <c r="H25" s="5"/>
      <c r="I25" s="6"/>
      <c r="J25" s="28"/>
      <c r="K25" s="43"/>
      <c r="L25" s="47"/>
      <c r="M25" s="35"/>
    </row>
    <row r="26" spans="1:18" x14ac:dyDescent="0.25">
      <c r="A26" s="34"/>
      <c r="B26" s="4"/>
      <c r="C26" s="28"/>
      <c r="D26" s="5"/>
      <c r="E26" s="31"/>
      <c r="F26" s="5"/>
      <c r="G26" s="5"/>
      <c r="H26" s="5"/>
      <c r="I26" s="6"/>
      <c r="J26" s="28"/>
      <c r="K26" s="43"/>
      <c r="L26" s="47"/>
      <c r="M26" s="35"/>
    </row>
    <row r="27" spans="1:18" ht="18" customHeight="1" x14ac:dyDescent="0.25">
      <c r="A27" s="375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 3)"</f>
        <v>Micro Canal höjd 6 cm djup 14 cm längd 130 cm (Typ 3)</v>
      </c>
      <c r="B27" s="376"/>
      <c r="C27" s="375"/>
      <c r="D27" s="377"/>
      <c r="E27" s="376"/>
      <c r="F27" s="376"/>
      <c r="G27" s="376"/>
      <c r="H27" s="376"/>
      <c r="I27" s="376"/>
      <c r="J27" s="375"/>
      <c r="K27" s="376"/>
      <c r="L27" s="376"/>
      <c r="M27" s="377"/>
    </row>
    <row r="28" spans="1:18" x14ac:dyDescent="0.25">
      <c r="A28" s="34"/>
      <c r="B28" s="4"/>
      <c r="C28" s="28"/>
      <c r="D28" s="5"/>
      <c r="E28" s="31"/>
      <c r="F28" s="5"/>
      <c r="G28" s="5"/>
      <c r="H28" s="5"/>
      <c r="I28" s="6"/>
      <c r="J28" s="28"/>
      <c r="K28" s="43"/>
      <c r="L28" s="47"/>
      <c r="M28" s="35"/>
    </row>
    <row r="29" spans="1:18" x14ac:dyDescent="0.25">
      <c r="A29" s="34"/>
      <c r="B29" s="4"/>
      <c r="C29" s="28"/>
      <c r="D29" s="5"/>
      <c r="E29" s="31"/>
      <c r="F29" s="5"/>
      <c r="G29" s="5"/>
      <c r="H29" s="5"/>
      <c r="I29" s="6"/>
      <c r="J29" s="28"/>
      <c r="K29" s="43"/>
      <c r="L29" s="47"/>
      <c r="M29" s="35"/>
    </row>
    <row r="30" spans="1:18" x14ac:dyDescent="0.25">
      <c r="A30" s="34"/>
      <c r="B30" s="4"/>
      <c r="C30" s="28"/>
      <c r="D30" s="5"/>
      <c r="E30" s="31"/>
      <c r="F30" s="5"/>
      <c r="G30" s="5"/>
      <c r="H30" s="5"/>
      <c r="I30" s="6"/>
      <c r="J30" s="28"/>
      <c r="K30" s="43"/>
      <c r="L30" s="47"/>
      <c r="M30" s="35"/>
    </row>
    <row r="31" spans="1:18" x14ac:dyDescent="0.25">
      <c r="A31" s="34"/>
      <c r="B31" s="4"/>
      <c r="C31" s="28"/>
      <c r="D31" s="5"/>
      <c r="E31" s="31"/>
      <c r="F31" s="5"/>
      <c r="G31" s="5"/>
      <c r="H31" s="5"/>
      <c r="I31" s="6"/>
      <c r="J31" s="28"/>
      <c r="K31" s="43"/>
      <c r="L31" s="47"/>
      <c r="M31" s="35"/>
    </row>
    <row r="32" spans="1:18" x14ac:dyDescent="0.25">
      <c r="A32" s="34"/>
      <c r="B32" s="4"/>
      <c r="C32" s="28"/>
      <c r="D32" s="5"/>
      <c r="E32" s="31"/>
      <c r="F32" s="5"/>
      <c r="G32" s="5"/>
      <c r="H32" s="5"/>
      <c r="I32" s="6"/>
      <c r="J32" s="28"/>
      <c r="K32" s="43"/>
      <c r="L32" s="47"/>
      <c r="M32" s="35"/>
    </row>
    <row r="33" spans="1:13" ht="16.899999999999999" customHeight="1" x14ac:dyDescent="0.25">
      <c r="A33" s="375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Micro Canal höjd 6 cm djup 14 cm längd 165 cm (Typ 4)</v>
      </c>
      <c r="B33" s="376"/>
      <c r="C33" s="375"/>
      <c r="D33" s="377"/>
      <c r="E33" s="376"/>
      <c r="F33" s="376"/>
      <c r="G33" s="376"/>
      <c r="H33" s="376"/>
      <c r="I33" s="376"/>
      <c r="J33" s="375"/>
      <c r="K33" s="376"/>
      <c r="L33" s="376"/>
      <c r="M33" s="377"/>
    </row>
    <row r="34" spans="1:13" x14ac:dyDescent="0.25">
      <c r="A34" s="34"/>
      <c r="B34" s="4"/>
      <c r="C34" s="28"/>
      <c r="D34" s="5"/>
      <c r="E34" s="31"/>
      <c r="F34" s="5"/>
      <c r="G34" s="5"/>
      <c r="H34" s="5"/>
      <c r="I34" s="6"/>
      <c r="J34" s="28"/>
      <c r="K34" s="43"/>
      <c r="L34" s="47"/>
      <c r="M34" s="35"/>
    </row>
    <row r="35" spans="1:13" x14ac:dyDescent="0.25">
      <c r="A35" s="34"/>
      <c r="B35" s="4"/>
      <c r="C35" s="28"/>
      <c r="D35" s="5"/>
      <c r="E35" s="31"/>
      <c r="F35" s="5"/>
      <c r="G35" s="5"/>
      <c r="H35" s="5"/>
      <c r="I35" s="6"/>
      <c r="J35" s="28"/>
      <c r="K35" s="43"/>
      <c r="L35" s="47"/>
      <c r="M35" s="35"/>
    </row>
    <row r="36" spans="1:13" x14ac:dyDescent="0.25">
      <c r="A36" s="34"/>
      <c r="B36" s="4"/>
      <c r="C36" s="28"/>
      <c r="D36" s="5"/>
      <c r="E36" s="31"/>
      <c r="F36" s="5"/>
      <c r="G36" s="5"/>
      <c r="H36" s="5"/>
      <c r="I36" s="6"/>
      <c r="J36" s="28"/>
      <c r="K36" s="43"/>
      <c r="L36" s="47"/>
      <c r="M36" s="35"/>
    </row>
    <row r="37" spans="1:13" x14ac:dyDescent="0.25">
      <c r="A37" s="34"/>
      <c r="B37" s="4"/>
      <c r="C37" s="28"/>
      <c r="D37" s="5"/>
      <c r="E37" s="31"/>
      <c r="F37" s="5"/>
      <c r="G37" s="5"/>
      <c r="H37" s="5"/>
      <c r="I37" s="6"/>
      <c r="J37" s="28"/>
      <c r="K37" s="43"/>
      <c r="L37" s="47"/>
      <c r="M37" s="35"/>
    </row>
    <row r="38" spans="1:13" ht="15" customHeight="1" x14ac:dyDescent="0.25">
      <c r="A38" s="34"/>
      <c r="B38" s="4"/>
      <c r="C38" s="28"/>
      <c r="D38" s="5"/>
      <c r="E38" s="31"/>
      <c r="F38" s="5"/>
      <c r="G38" s="5"/>
      <c r="H38" s="5"/>
      <c r="I38" s="6"/>
      <c r="J38" s="28"/>
      <c r="K38" s="43"/>
      <c r="L38" s="47"/>
      <c r="M38" s="35"/>
    </row>
    <row r="39" spans="1:13" ht="15" customHeight="1" x14ac:dyDescent="0.25">
      <c r="A39" s="375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Micro Canal höjd 6 cm djup 14 cm längd 200 cm (Typ 5)</v>
      </c>
      <c r="B39" s="376"/>
      <c r="C39" s="375"/>
      <c r="D39" s="377"/>
      <c r="E39" s="376"/>
      <c r="F39" s="376"/>
      <c r="G39" s="376"/>
      <c r="H39" s="376"/>
      <c r="I39" s="376"/>
      <c r="J39" s="375"/>
      <c r="K39" s="376"/>
      <c r="L39" s="376"/>
      <c r="M39" s="377"/>
    </row>
    <row r="40" spans="1:13" ht="15" customHeight="1" x14ac:dyDescent="0.25">
      <c r="A40" s="34"/>
      <c r="B40" s="4"/>
      <c r="C40" s="28"/>
      <c r="D40" s="5"/>
      <c r="E40" s="31"/>
      <c r="F40" s="5"/>
      <c r="G40" s="5"/>
      <c r="H40" s="5"/>
      <c r="I40" s="6"/>
      <c r="J40" s="28"/>
      <c r="K40" s="43"/>
      <c r="L40" s="47"/>
      <c r="M40" s="35"/>
    </row>
    <row r="41" spans="1:13" ht="15" customHeight="1" x14ac:dyDescent="0.25">
      <c r="A41" s="34"/>
      <c r="B41" s="4"/>
      <c r="C41" s="28"/>
      <c r="D41" s="5"/>
      <c r="E41" s="31"/>
      <c r="F41" s="5"/>
      <c r="G41" s="5"/>
      <c r="H41" s="5"/>
      <c r="I41" s="6"/>
      <c r="J41" s="28"/>
      <c r="K41" s="43"/>
      <c r="L41" s="47"/>
      <c r="M41" s="35"/>
    </row>
    <row r="42" spans="1:13" s="3" customFormat="1" ht="15" customHeight="1" x14ac:dyDescent="0.25">
      <c r="A42" s="34"/>
      <c r="B42" s="4"/>
      <c r="C42" s="28"/>
      <c r="D42" s="5"/>
      <c r="E42" s="31"/>
      <c r="F42" s="5"/>
      <c r="G42" s="5"/>
      <c r="H42" s="5"/>
      <c r="I42" s="6"/>
      <c r="J42" s="28"/>
      <c r="K42" s="43"/>
      <c r="L42" s="47"/>
      <c r="M42" s="35"/>
    </row>
    <row r="43" spans="1:13" ht="15" customHeight="1" x14ac:dyDescent="0.25">
      <c r="A43" s="34"/>
      <c r="B43" s="4"/>
      <c r="C43" s="28"/>
      <c r="D43" s="5"/>
      <c r="E43" s="31"/>
      <c r="F43" s="5"/>
      <c r="G43" s="5"/>
      <c r="H43" s="5"/>
      <c r="I43" s="6"/>
      <c r="J43" s="28"/>
      <c r="K43" s="43"/>
      <c r="L43" s="47"/>
      <c r="M43" s="35"/>
    </row>
    <row r="44" spans="1:13" ht="15" customHeight="1" x14ac:dyDescent="0.25">
      <c r="A44" s="34"/>
      <c r="B44" s="4"/>
      <c r="C44" s="28"/>
      <c r="D44" s="5"/>
      <c r="E44" s="31"/>
      <c r="F44" s="5"/>
      <c r="G44" s="5"/>
      <c r="H44" s="5"/>
      <c r="I44" s="6"/>
      <c r="J44" s="28"/>
      <c r="K44" s="43"/>
      <c r="L44" s="47"/>
      <c r="M44" s="35"/>
    </row>
    <row r="45" spans="1:13" ht="15" customHeight="1" x14ac:dyDescent="0.25">
      <c r="A45" s="375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Micro Canal höjd 0 cm djup 0 cm längd 0 cm (Typ 6)</v>
      </c>
      <c r="B45" s="376"/>
      <c r="C45" s="375"/>
      <c r="D45" s="377"/>
      <c r="E45" s="376"/>
      <c r="F45" s="376"/>
      <c r="G45" s="376"/>
      <c r="H45" s="376"/>
      <c r="I45" s="376"/>
      <c r="J45" s="375"/>
      <c r="K45" s="376"/>
      <c r="L45" s="376"/>
      <c r="M45" s="377"/>
    </row>
    <row r="46" spans="1:13" ht="15" customHeight="1" x14ac:dyDescent="0.25">
      <c r="A46" s="34"/>
      <c r="B46" s="4"/>
      <c r="C46" s="28"/>
      <c r="D46" s="5"/>
      <c r="E46" s="31"/>
      <c r="F46" s="5"/>
      <c r="G46" s="5"/>
      <c r="H46" s="5"/>
      <c r="I46" s="6"/>
      <c r="J46" s="28"/>
      <c r="K46" s="43"/>
      <c r="L46" s="47"/>
      <c r="M46" s="35"/>
    </row>
    <row r="47" spans="1:13" ht="15" customHeight="1" x14ac:dyDescent="0.25">
      <c r="A47" s="34"/>
      <c r="B47" s="4"/>
      <c r="C47" s="28"/>
      <c r="D47" s="5"/>
      <c r="E47" s="31"/>
      <c r="F47" s="5"/>
      <c r="G47" s="5"/>
      <c r="H47" s="5"/>
      <c r="I47" s="6"/>
      <c r="J47" s="28"/>
      <c r="K47" s="43"/>
      <c r="L47" s="47"/>
      <c r="M47" s="35"/>
    </row>
    <row r="48" spans="1:13" ht="15" customHeight="1" x14ac:dyDescent="0.25">
      <c r="A48" s="34"/>
      <c r="B48" s="4"/>
      <c r="C48" s="28"/>
      <c r="D48" s="5"/>
      <c r="E48" s="31"/>
      <c r="F48" s="5"/>
      <c r="G48" s="5"/>
      <c r="H48" s="5"/>
      <c r="I48" s="6"/>
      <c r="J48" s="28"/>
      <c r="K48" s="43"/>
      <c r="L48" s="47"/>
      <c r="M48" s="35"/>
    </row>
    <row r="49" spans="1:13" ht="15" customHeight="1" x14ac:dyDescent="0.25">
      <c r="A49" s="34"/>
      <c r="B49" s="4"/>
      <c r="C49" s="28"/>
      <c r="D49" s="5"/>
      <c r="E49" s="31"/>
      <c r="F49" s="5"/>
      <c r="G49" s="5"/>
      <c r="H49" s="5"/>
      <c r="I49" s="6"/>
      <c r="J49" s="28"/>
      <c r="K49" s="43"/>
      <c r="L49" s="47"/>
      <c r="M49" s="35"/>
    </row>
    <row r="50" spans="1:13" ht="15" customHeight="1" x14ac:dyDescent="0.25">
      <c r="A50" s="34"/>
      <c r="B50" s="4"/>
      <c r="C50" s="28"/>
      <c r="D50" s="5"/>
      <c r="E50" s="31"/>
      <c r="F50" s="5"/>
      <c r="G50" s="5"/>
      <c r="H50" s="5"/>
      <c r="I50" s="6"/>
      <c r="J50" s="28"/>
      <c r="K50" s="43"/>
      <c r="L50" s="47"/>
      <c r="M50" s="35"/>
    </row>
    <row r="51" spans="1:13" ht="15" customHeight="1" x14ac:dyDescent="0.25">
      <c r="A51" s="375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Micro Canal höjd 0 cm djup 0 cm längd 0 cm (Typ 7)</v>
      </c>
      <c r="B51" s="376"/>
      <c r="C51" s="375"/>
      <c r="D51" s="377"/>
      <c r="E51" s="376"/>
      <c r="F51" s="376"/>
      <c r="G51" s="376"/>
      <c r="H51" s="376"/>
      <c r="I51" s="376"/>
      <c r="J51" s="375"/>
      <c r="K51" s="376"/>
      <c r="L51" s="376"/>
      <c r="M51" s="377"/>
    </row>
    <row r="52" spans="1:13" ht="15" customHeight="1" x14ac:dyDescent="0.25">
      <c r="A52" s="34"/>
      <c r="B52" s="4"/>
      <c r="C52" s="28"/>
      <c r="D52" s="5"/>
      <c r="E52" s="31"/>
      <c r="F52" s="5"/>
      <c r="G52" s="5"/>
      <c r="H52" s="5"/>
      <c r="I52" s="6"/>
      <c r="J52" s="28"/>
      <c r="K52" s="43"/>
      <c r="L52" s="47"/>
      <c r="M52" s="35"/>
    </row>
    <row r="53" spans="1:13" ht="15" customHeight="1" x14ac:dyDescent="0.25">
      <c r="A53" s="34"/>
      <c r="B53" s="4"/>
      <c r="C53" s="28"/>
      <c r="D53" s="5"/>
      <c r="E53" s="31"/>
      <c r="F53" s="5"/>
      <c r="G53" s="5"/>
      <c r="H53" s="5"/>
      <c r="I53" s="6"/>
      <c r="J53" s="28"/>
      <c r="K53" s="43"/>
      <c r="L53" s="47"/>
      <c r="M53" s="35"/>
    </row>
    <row r="54" spans="1:13" ht="15" customHeight="1" x14ac:dyDescent="0.25">
      <c r="A54" s="34"/>
      <c r="B54" s="4"/>
      <c r="C54" s="28"/>
      <c r="D54" s="5"/>
      <c r="E54" s="31"/>
      <c r="F54" s="5"/>
      <c r="G54" s="5"/>
      <c r="H54" s="5"/>
      <c r="I54" s="6"/>
      <c r="J54" s="28"/>
      <c r="K54" s="43"/>
      <c r="L54" s="47"/>
      <c r="M54" s="35"/>
    </row>
    <row r="55" spans="1:13" ht="15" customHeight="1" x14ac:dyDescent="0.25">
      <c r="A55" s="34"/>
      <c r="B55" s="4"/>
      <c r="C55" s="28"/>
      <c r="D55" s="5"/>
      <c r="E55" s="31"/>
      <c r="F55" s="5"/>
      <c r="G55" s="5"/>
      <c r="H55" s="5"/>
      <c r="I55" s="6"/>
      <c r="J55" s="28"/>
      <c r="K55" s="43"/>
      <c r="L55" s="47"/>
      <c r="M55" s="35"/>
    </row>
    <row r="56" spans="1:13" ht="15" customHeight="1" x14ac:dyDescent="0.25">
      <c r="A56" s="34"/>
      <c r="B56" s="4"/>
      <c r="C56" s="28"/>
      <c r="D56" s="5"/>
      <c r="E56" s="31"/>
      <c r="F56" s="5"/>
      <c r="G56" s="5"/>
      <c r="H56" s="5"/>
      <c r="I56" s="6"/>
      <c r="J56" s="28"/>
      <c r="K56" s="43"/>
      <c r="L56" s="47"/>
      <c r="M56" s="35"/>
    </row>
    <row r="57" spans="1:13" ht="15" customHeight="1" x14ac:dyDescent="0.25">
      <c r="A57" s="375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Micro Canal höjd 0 cm djup 0 cm längd 0 cm (Typ 8)</v>
      </c>
      <c r="B57" s="376"/>
      <c r="C57" s="375"/>
      <c r="D57" s="377"/>
      <c r="E57" s="376"/>
      <c r="F57" s="376"/>
      <c r="G57" s="376"/>
      <c r="H57" s="376"/>
      <c r="I57" s="376"/>
      <c r="J57" s="375"/>
      <c r="K57" s="376"/>
      <c r="L57" s="376"/>
      <c r="M57" s="377"/>
    </row>
    <row r="58" spans="1:13" ht="15" customHeight="1" x14ac:dyDescent="0.25">
      <c r="A58" s="34"/>
      <c r="B58" s="4"/>
      <c r="C58" s="28"/>
      <c r="D58" s="5"/>
      <c r="E58" s="31"/>
      <c r="F58" s="5"/>
      <c r="G58" s="5"/>
      <c r="H58" s="5"/>
      <c r="I58" s="6"/>
      <c r="J58" s="28"/>
      <c r="K58" s="43"/>
      <c r="L58" s="47"/>
      <c r="M58" s="35"/>
    </row>
    <row r="59" spans="1:13" ht="15" customHeight="1" x14ac:dyDescent="0.25">
      <c r="A59" s="34"/>
      <c r="B59" s="4"/>
      <c r="C59" s="28"/>
      <c r="D59" s="5"/>
      <c r="E59" s="31"/>
      <c r="F59" s="5"/>
      <c r="G59" s="5"/>
      <c r="H59" s="5"/>
      <c r="I59" s="6"/>
      <c r="J59" s="28"/>
      <c r="K59" s="43"/>
      <c r="L59" s="47"/>
      <c r="M59" s="35"/>
    </row>
    <row r="60" spans="1:13" ht="15" customHeight="1" x14ac:dyDescent="0.25">
      <c r="A60" s="34"/>
      <c r="B60" s="4"/>
      <c r="C60" s="28"/>
      <c r="D60" s="5"/>
      <c r="E60" s="31"/>
      <c r="F60" s="5"/>
      <c r="G60" s="5"/>
      <c r="H60" s="5"/>
      <c r="I60" s="6"/>
      <c r="J60" s="28"/>
      <c r="K60" s="43"/>
      <c r="L60" s="47"/>
      <c r="M60" s="35"/>
    </row>
    <row r="61" spans="1:13" ht="15" customHeight="1" x14ac:dyDescent="0.25">
      <c r="A61" s="34"/>
      <c r="B61" s="4"/>
      <c r="C61" s="28"/>
      <c r="D61" s="5"/>
      <c r="E61" s="31"/>
      <c r="F61" s="5"/>
      <c r="G61" s="5"/>
      <c r="H61" s="5"/>
      <c r="I61" s="6"/>
      <c r="J61" s="28"/>
      <c r="K61" s="43"/>
      <c r="L61" s="47"/>
      <c r="M61" s="35"/>
    </row>
    <row r="62" spans="1:13" ht="15" customHeight="1" x14ac:dyDescent="0.25">
      <c r="A62" s="34"/>
      <c r="B62" s="4"/>
      <c r="C62" s="28"/>
      <c r="D62" s="5"/>
      <c r="E62" s="31"/>
      <c r="F62" s="5"/>
      <c r="G62" s="5"/>
      <c r="H62" s="5"/>
      <c r="I62" s="6"/>
      <c r="J62" s="28"/>
      <c r="K62" s="43"/>
      <c r="L62" s="47"/>
      <c r="M62" s="35"/>
    </row>
    <row r="63" spans="1:13" ht="15" customHeight="1" x14ac:dyDescent="0.25">
      <c r="A63" s="375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Micro Canal höjd 0 cm djup 0 cm längd 0 cm (Typ 9)</v>
      </c>
      <c r="B63" s="376"/>
      <c r="C63" s="375"/>
      <c r="D63" s="377"/>
      <c r="E63" s="376"/>
      <c r="F63" s="376"/>
      <c r="G63" s="376"/>
      <c r="H63" s="376"/>
      <c r="I63" s="376"/>
      <c r="J63" s="375"/>
      <c r="K63" s="376"/>
      <c r="L63" s="376"/>
      <c r="M63" s="377"/>
    </row>
    <row r="64" spans="1:13" ht="15" customHeight="1" x14ac:dyDescent="0.25">
      <c r="A64" s="34"/>
      <c r="B64" s="4"/>
      <c r="C64" s="28"/>
      <c r="D64" s="5"/>
      <c r="E64" s="31"/>
      <c r="F64" s="5"/>
      <c r="G64" s="5"/>
      <c r="H64" s="5"/>
      <c r="I64" s="6"/>
      <c r="J64" s="28"/>
      <c r="K64" s="43"/>
      <c r="L64" s="47"/>
      <c r="M64" s="35"/>
    </row>
    <row r="65" spans="1:13" ht="15" customHeight="1" x14ac:dyDescent="0.25">
      <c r="A65" s="34"/>
      <c r="B65" s="4"/>
      <c r="C65" s="28"/>
      <c r="D65" s="5"/>
      <c r="E65" s="31"/>
      <c r="F65" s="5"/>
      <c r="G65" s="5"/>
      <c r="H65" s="5"/>
      <c r="I65" s="6"/>
      <c r="J65" s="28"/>
      <c r="K65" s="43"/>
      <c r="L65" s="47"/>
      <c r="M65" s="35"/>
    </row>
    <row r="66" spans="1:13" ht="15" customHeight="1" x14ac:dyDescent="0.25">
      <c r="A66" s="34"/>
      <c r="B66" s="4"/>
      <c r="C66" s="28"/>
      <c r="D66" s="5"/>
      <c r="E66" s="31"/>
      <c r="F66" s="5"/>
      <c r="G66" s="5"/>
      <c r="H66" s="5"/>
      <c r="I66" s="6"/>
      <c r="J66" s="28"/>
      <c r="K66" s="43"/>
      <c r="L66" s="47"/>
      <c r="M66" s="35"/>
    </row>
    <row r="67" spans="1:13" ht="15" customHeight="1" x14ac:dyDescent="0.25">
      <c r="A67" s="34"/>
      <c r="B67" s="4"/>
      <c r="C67" s="28"/>
      <c r="D67" s="5"/>
      <c r="E67" s="31"/>
      <c r="F67" s="5"/>
      <c r="G67" s="5"/>
      <c r="H67" s="5"/>
      <c r="I67" s="6"/>
      <c r="J67" s="28"/>
      <c r="K67" s="43"/>
      <c r="L67" s="47"/>
      <c r="M67" s="35"/>
    </row>
    <row r="68" spans="1:13" ht="15" customHeight="1" x14ac:dyDescent="0.25">
      <c r="A68" s="36"/>
      <c r="B68" s="37"/>
      <c r="C68" s="38"/>
      <c r="D68" s="39"/>
      <c r="E68" s="40"/>
      <c r="F68" s="39"/>
      <c r="G68" s="39"/>
      <c r="H68" s="39"/>
      <c r="I68" s="41"/>
      <c r="J68" s="38"/>
      <c r="K68" s="44"/>
      <c r="L68" s="47"/>
      <c r="M68" s="42"/>
    </row>
    <row r="69" spans="1:13" ht="9.6" customHeight="1" x14ac:dyDescent="0.25">
      <c r="A69" s="7" t="s">
        <v>194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48"/>
      <c r="M69" s="46" t="str">
        <f>cal!N70</f>
        <v>v2022-06-01</v>
      </c>
    </row>
    <row r="70" spans="1:13" ht="9.6" customHeight="1" x14ac:dyDescent="0.25">
      <c r="A70" s="7" t="s">
        <v>192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9.6" customHeight="1" x14ac:dyDescent="0.25">
      <c r="A71" s="7" t="s">
        <v>193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sheetProtection selectLockedCells="1"/>
  <mergeCells count="16">
    <mergeCell ref="A63:M63"/>
    <mergeCell ref="F10:I10"/>
    <mergeCell ref="A15:M15"/>
    <mergeCell ref="A21:M21"/>
    <mergeCell ref="A27:M27"/>
    <mergeCell ref="F11:I11"/>
    <mergeCell ref="A33:M33"/>
    <mergeCell ref="A39:M39"/>
    <mergeCell ref="A45:M45"/>
    <mergeCell ref="A51:M51"/>
    <mergeCell ref="A57:M57"/>
    <mergeCell ref="L6:M6"/>
    <mergeCell ref="L7:M7"/>
    <mergeCell ref="F8:I8"/>
    <mergeCell ref="L8:M8"/>
    <mergeCell ref="F9:I9"/>
  </mergeCells>
  <dataValidations count="7">
    <dataValidation type="decimal" errorStyle="information" allowBlank="1" showErrorMessage="1" error="Eingabe außerhalb des gültigen Bereichs." prompt="20°C bis 35°C" sqref="J11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8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8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14</vt:i4>
      </vt:variant>
    </vt:vector>
  </HeadingPairs>
  <TitlesOfParts>
    <vt:vector size="27" baseType="lpstr">
      <vt:lpstr>Micro canal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Celc1</vt:lpstr>
      <vt:lpstr>Celc2</vt:lpstr>
      <vt:lpstr>CF_Altit</vt:lpstr>
      <vt:lpstr>Cubics</vt:lpstr>
      <vt:lpstr>kgss</vt:lpstr>
      <vt:lpstr>p_atm</vt:lpstr>
      <vt:lpstr>RH</vt:lpstr>
      <vt:lpstr>Tl_cool</vt:lpstr>
      <vt:lpstr>Tl_heat</vt:lpstr>
      <vt:lpstr>Tr_cool</vt:lpstr>
      <vt:lpstr>Tr_heat</vt:lpstr>
      <vt:lpstr>Tv_cool</vt:lpstr>
      <vt:lpstr>Tv_heat</vt:lpstr>
      <vt:lpstr>Watts</vt:lpstr>
    </vt:vector>
  </TitlesOfParts>
  <Company>Jaga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Clima canal H13W32</dc:subject>
  <dc:creator>Patrick Thomas</dc:creator>
  <dc:description>Update: 
1) Invoering van logaritmische CF;
2) toevoeging L300.</dc:description>
  <cp:lastModifiedBy>Senne Swyns</cp:lastModifiedBy>
  <cp:lastPrinted>2019-09-05T07:29:31Z</cp:lastPrinted>
  <dcterms:created xsi:type="dcterms:W3CDTF">2016-04-18T12:28:50Z</dcterms:created>
  <dcterms:modified xsi:type="dcterms:W3CDTF">2022-06-01T12:40:12Z</dcterms:modified>
  <cp:category>Selectiontools</cp:category>
  <cp:contentStatus>Update 16/01/2020 THenson</cp:contentStatus>
</cp:coreProperties>
</file>